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435"/>
  </bookViews>
  <sheets>
    <sheet name="Porcentajes" sheetId="1" r:id="rId1"/>
    <sheet name="FGP" sheetId="2" r:id="rId2"/>
    <sheet name="FFM" sheetId="3" r:id="rId3"/>
    <sheet name="IEPS TyA" sheetId="4" r:id="rId4"/>
    <sheet name="IEPS GyD" sheetId="5" r:id="rId5"/>
    <sheet name="FOFIR" sheetId="6" r:id="rId6"/>
    <sheet name="FOCO" sheetId="7" r:id="rId7"/>
    <sheet name="ISAN Y FC_ISAN" sheetId="8" r:id="rId8"/>
    <sheet name="ANEXO I y CENSO" sheetId="9" r:id="rId9"/>
    <sheet name="CALENDARIO 1" sheetId="10" r:id="rId10"/>
    <sheet name="CALENDARIO 2" sheetId="11" r:id="rId11"/>
  </sheets>
  <externalReferences>
    <externalReference r:id="rId12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K16" i="3"/>
  <c r="K17" i="3"/>
  <c r="K21" i="3"/>
  <c r="K24" i="3"/>
  <c r="K25" i="3"/>
  <c r="K26" i="3"/>
  <c r="K29" i="3"/>
  <c r="K31" i="3"/>
  <c r="L30" i="3"/>
  <c r="L27" i="3"/>
  <c r="L28" i="3"/>
  <c r="L22" i="3"/>
  <c r="L23" i="3"/>
  <c r="L18" i="3"/>
  <c r="L19" i="3"/>
  <c r="L20" i="3"/>
  <c r="L12" i="3"/>
  <c r="L13" i="3"/>
  <c r="L14" i="3"/>
  <c r="L15" i="3"/>
  <c r="D54" i="9"/>
  <c r="G27" i="9"/>
  <c r="F27" i="9"/>
  <c r="H27" i="9"/>
  <c r="D27" i="9"/>
  <c r="C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L30" i="8"/>
  <c r="D30" i="8"/>
  <c r="B30" i="8"/>
  <c r="E29" i="8"/>
  <c r="C29" i="8"/>
  <c r="E28" i="8"/>
  <c r="C28" i="8"/>
  <c r="E27" i="8"/>
  <c r="C27" i="8"/>
  <c r="E26" i="8"/>
  <c r="C26" i="8"/>
  <c r="F26" i="8"/>
  <c r="G26" i="8"/>
  <c r="E25" i="8"/>
  <c r="C25" i="8"/>
  <c r="F25" i="8"/>
  <c r="G25" i="8"/>
  <c r="E24" i="8"/>
  <c r="C24" i="8"/>
  <c r="E23" i="8"/>
  <c r="C23" i="8"/>
  <c r="E22" i="8"/>
  <c r="C22" i="8"/>
  <c r="F22" i="8"/>
  <c r="G22" i="8"/>
  <c r="E21" i="8"/>
  <c r="C21" i="8"/>
  <c r="F21" i="8"/>
  <c r="G21" i="8"/>
  <c r="E20" i="8"/>
  <c r="C20" i="8"/>
  <c r="E19" i="8"/>
  <c r="C19" i="8"/>
  <c r="E18" i="8"/>
  <c r="C18" i="8"/>
  <c r="E17" i="8"/>
  <c r="C17" i="8"/>
  <c r="F17" i="8"/>
  <c r="G17" i="8"/>
  <c r="E16" i="8"/>
  <c r="C16" i="8"/>
  <c r="E15" i="8"/>
  <c r="C15" i="8"/>
  <c r="E14" i="8"/>
  <c r="C14" i="8"/>
  <c r="E13" i="8"/>
  <c r="C13" i="8"/>
  <c r="F13" i="8"/>
  <c r="G13" i="8"/>
  <c r="E12" i="8"/>
  <c r="C12" i="8"/>
  <c r="E11" i="8"/>
  <c r="C11" i="8"/>
  <c r="C10" i="8"/>
  <c r="E10" i="8"/>
  <c r="F10" i="8"/>
  <c r="G10" i="8"/>
  <c r="D30" i="7"/>
  <c r="B30" i="7"/>
  <c r="K29" i="7"/>
  <c r="J29" i="7"/>
  <c r="F29" i="7"/>
  <c r="E29" i="7"/>
  <c r="C29" i="7"/>
  <c r="K28" i="7"/>
  <c r="J28" i="7"/>
  <c r="F28" i="7"/>
  <c r="E28" i="7"/>
  <c r="C28" i="7"/>
  <c r="K27" i="7"/>
  <c r="J27" i="7"/>
  <c r="F27" i="7"/>
  <c r="E27" i="7"/>
  <c r="C27" i="7"/>
  <c r="K26" i="7"/>
  <c r="J26" i="7"/>
  <c r="F26" i="7"/>
  <c r="E26" i="7"/>
  <c r="C26" i="7"/>
  <c r="K25" i="7"/>
  <c r="J25" i="7"/>
  <c r="F25" i="7"/>
  <c r="E25" i="7"/>
  <c r="C25" i="7"/>
  <c r="K24" i="7"/>
  <c r="J24" i="7"/>
  <c r="F24" i="7"/>
  <c r="E24" i="7"/>
  <c r="C24" i="7"/>
  <c r="K23" i="7"/>
  <c r="J23" i="7"/>
  <c r="F23" i="7"/>
  <c r="E23" i="7"/>
  <c r="C23" i="7"/>
  <c r="K22" i="7"/>
  <c r="J22" i="7"/>
  <c r="F22" i="7"/>
  <c r="E22" i="7"/>
  <c r="C22" i="7"/>
  <c r="K21" i="7"/>
  <c r="J21" i="7"/>
  <c r="F21" i="7"/>
  <c r="E21" i="7"/>
  <c r="C21" i="7"/>
  <c r="K20" i="7"/>
  <c r="J20" i="7"/>
  <c r="F20" i="7"/>
  <c r="E20" i="7"/>
  <c r="C20" i="7"/>
  <c r="K19" i="7"/>
  <c r="J19" i="7"/>
  <c r="F19" i="7"/>
  <c r="E19" i="7"/>
  <c r="C19" i="7"/>
  <c r="K18" i="7"/>
  <c r="J18" i="7"/>
  <c r="F18" i="7"/>
  <c r="E18" i="7"/>
  <c r="C18" i="7"/>
  <c r="K17" i="7"/>
  <c r="J17" i="7"/>
  <c r="F17" i="7"/>
  <c r="E17" i="7"/>
  <c r="C17" i="7"/>
  <c r="K16" i="7"/>
  <c r="J16" i="7"/>
  <c r="F16" i="7"/>
  <c r="E16" i="7"/>
  <c r="C16" i="7"/>
  <c r="K15" i="7"/>
  <c r="J15" i="7"/>
  <c r="F15" i="7"/>
  <c r="E15" i="7"/>
  <c r="C15" i="7"/>
  <c r="K14" i="7"/>
  <c r="J14" i="7"/>
  <c r="F14" i="7"/>
  <c r="E14" i="7"/>
  <c r="C14" i="7"/>
  <c r="K13" i="7"/>
  <c r="J13" i="7"/>
  <c r="F13" i="7"/>
  <c r="E13" i="7"/>
  <c r="C13" i="7"/>
  <c r="K12" i="7"/>
  <c r="J12" i="7"/>
  <c r="F12" i="7"/>
  <c r="E12" i="7"/>
  <c r="C12" i="7"/>
  <c r="K11" i="7"/>
  <c r="J11" i="7"/>
  <c r="F11" i="7"/>
  <c r="E11" i="7"/>
  <c r="C11" i="7"/>
  <c r="K10" i="7"/>
  <c r="J10" i="7"/>
  <c r="F10" i="7"/>
  <c r="E10" i="7"/>
  <c r="E30" i="7"/>
  <c r="C10" i="7"/>
  <c r="J29" i="6"/>
  <c r="G29" i="6"/>
  <c r="E29" i="6"/>
  <c r="C29" i="6"/>
  <c r="E28" i="6"/>
  <c r="D28" i="6"/>
  <c r="E27" i="6"/>
  <c r="F27" i="6"/>
  <c r="H27" i="6"/>
  <c r="D27" i="6"/>
  <c r="E26" i="6"/>
  <c r="D26" i="6"/>
  <c r="E25" i="6"/>
  <c r="D25" i="6"/>
  <c r="E24" i="6"/>
  <c r="D24" i="6"/>
  <c r="E23" i="6"/>
  <c r="F23" i="6"/>
  <c r="H23" i="6"/>
  <c r="D23" i="6"/>
  <c r="E22" i="6"/>
  <c r="D22" i="6"/>
  <c r="E21" i="6"/>
  <c r="F21" i="6"/>
  <c r="H21" i="6"/>
  <c r="D21" i="6"/>
  <c r="E20" i="6"/>
  <c r="D20" i="6"/>
  <c r="E19" i="6"/>
  <c r="F19" i="6"/>
  <c r="H19" i="6"/>
  <c r="D19" i="6"/>
  <c r="E18" i="6"/>
  <c r="D18" i="6"/>
  <c r="E17" i="6"/>
  <c r="F17" i="6"/>
  <c r="H17" i="6"/>
  <c r="D17" i="6"/>
  <c r="E16" i="6"/>
  <c r="D16" i="6"/>
  <c r="E15" i="6"/>
  <c r="F15" i="6"/>
  <c r="H15" i="6"/>
  <c r="D15" i="6"/>
  <c r="E14" i="6"/>
  <c r="D14" i="6"/>
  <c r="E13" i="6"/>
  <c r="F13" i="6"/>
  <c r="H13" i="6"/>
  <c r="D13" i="6"/>
  <c r="E12" i="6"/>
  <c r="D12" i="6"/>
  <c r="E11" i="6"/>
  <c r="F11" i="6"/>
  <c r="H11" i="6"/>
  <c r="D11" i="6"/>
  <c r="E10" i="6"/>
  <c r="D10" i="6"/>
  <c r="E9" i="6"/>
  <c r="F9" i="6"/>
  <c r="H9" i="6"/>
  <c r="D9" i="6"/>
  <c r="F29" i="5"/>
  <c r="E29" i="5"/>
  <c r="C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F30" i="4"/>
  <c r="D30" i="4"/>
  <c r="C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G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G12" i="4"/>
  <c r="F11" i="4"/>
  <c r="D11" i="4"/>
  <c r="F10" i="4"/>
  <c r="D10" i="4"/>
  <c r="M31" i="3"/>
  <c r="H31" i="3"/>
  <c r="I31" i="3"/>
  <c r="E31" i="3"/>
  <c r="F31" i="3"/>
  <c r="C31" i="3"/>
  <c r="M30" i="3"/>
  <c r="J30" i="3"/>
  <c r="F30" i="3"/>
  <c r="G30" i="3"/>
  <c r="D30" i="3"/>
  <c r="M29" i="3"/>
  <c r="J29" i="3"/>
  <c r="F29" i="3"/>
  <c r="G29" i="3"/>
  <c r="D29" i="3"/>
  <c r="M28" i="3"/>
  <c r="J28" i="3"/>
  <c r="F28" i="3"/>
  <c r="G28" i="3"/>
  <c r="D28" i="3"/>
  <c r="M27" i="3"/>
  <c r="J27" i="3"/>
  <c r="F27" i="3"/>
  <c r="G27" i="3"/>
  <c r="D27" i="3"/>
  <c r="M26" i="3"/>
  <c r="J26" i="3"/>
  <c r="F26" i="3"/>
  <c r="G26" i="3"/>
  <c r="D26" i="3"/>
  <c r="M25" i="3"/>
  <c r="J25" i="3"/>
  <c r="I25" i="3"/>
  <c r="F25" i="3"/>
  <c r="G25" i="3"/>
  <c r="D25" i="3"/>
  <c r="M24" i="3"/>
  <c r="J24" i="3"/>
  <c r="F24" i="3"/>
  <c r="G24" i="3"/>
  <c r="D24" i="3"/>
  <c r="M23" i="3"/>
  <c r="J23" i="3"/>
  <c r="F23" i="3"/>
  <c r="G23" i="3"/>
  <c r="D23" i="3"/>
  <c r="M22" i="3"/>
  <c r="J22" i="3"/>
  <c r="F22" i="3"/>
  <c r="G22" i="3"/>
  <c r="D22" i="3"/>
  <c r="M21" i="3"/>
  <c r="J21" i="3"/>
  <c r="F21" i="3"/>
  <c r="G21" i="3"/>
  <c r="D21" i="3"/>
  <c r="M20" i="3"/>
  <c r="J20" i="3"/>
  <c r="I20" i="3"/>
  <c r="F20" i="3"/>
  <c r="G20" i="3"/>
  <c r="D20" i="3"/>
  <c r="M19" i="3"/>
  <c r="J19" i="3"/>
  <c r="F19" i="3"/>
  <c r="G19" i="3"/>
  <c r="D19" i="3"/>
  <c r="M18" i="3"/>
  <c r="J18" i="3"/>
  <c r="I18" i="3"/>
  <c r="F18" i="3"/>
  <c r="G18" i="3"/>
  <c r="D18" i="3"/>
  <c r="M17" i="3"/>
  <c r="J17" i="3"/>
  <c r="F17" i="3"/>
  <c r="G17" i="3"/>
  <c r="D17" i="3"/>
  <c r="M16" i="3"/>
  <c r="J16" i="3"/>
  <c r="F16" i="3"/>
  <c r="G16" i="3"/>
  <c r="D16" i="3"/>
  <c r="M15" i="3"/>
  <c r="J15" i="3"/>
  <c r="I15" i="3"/>
  <c r="F15" i="3"/>
  <c r="G15" i="3"/>
  <c r="D15" i="3"/>
  <c r="M14" i="3"/>
  <c r="J14" i="3"/>
  <c r="F14" i="3"/>
  <c r="G14" i="3"/>
  <c r="D14" i="3"/>
  <c r="M13" i="3"/>
  <c r="J13" i="3"/>
  <c r="I13" i="3"/>
  <c r="F13" i="3"/>
  <c r="G13" i="3"/>
  <c r="D13" i="3"/>
  <c r="M12" i="3"/>
  <c r="J12" i="3"/>
  <c r="F12" i="3"/>
  <c r="G12" i="3"/>
  <c r="D12" i="3"/>
  <c r="M11" i="3"/>
  <c r="J11" i="3"/>
  <c r="F11" i="3"/>
  <c r="G11" i="3"/>
  <c r="D11" i="3"/>
  <c r="I31" i="2"/>
  <c r="J27" i="2"/>
  <c r="K27" i="2"/>
  <c r="E31" i="2"/>
  <c r="D27" i="2"/>
  <c r="F27" i="2"/>
  <c r="G27" i="2"/>
  <c r="N27" i="2"/>
  <c r="O27" i="2"/>
  <c r="B31" i="2"/>
  <c r="L30" i="2"/>
  <c r="H30" i="2"/>
  <c r="C30" i="2"/>
  <c r="L29" i="2"/>
  <c r="H29" i="2"/>
  <c r="D29" i="2"/>
  <c r="F29" i="2"/>
  <c r="G29" i="2"/>
  <c r="C29" i="2"/>
  <c r="L28" i="2"/>
  <c r="H28" i="2"/>
  <c r="C28" i="2"/>
  <c r="L27" i="2"/>
  <c r="H27" i="2"/>
  <c r="C27" i="2"/>
  <c r="L26" i="2"/>
  <c r="H26" i="2"/>
  <c r="C26" i="2"/>
  <c r="L25" i="2"/>
  <c r="H25" i="2"/>
  <c r="D25" i="2"/>
  <c r="F25" i="2"/>
  <c r="G25" i="2"/>
  <c r="C25" i="2"/>
  <c r="L24" i="2"/>
  <c r="H24" i="2"/>
  <c r="C24" i="2"/>
  <c r="L23" i="2"/>
  <c r="H23" i="2"/>
  <c r="C23" i="2"/>
  <c r="L22" i="2"/>
  <c r="H22" i="2"/>
  <c r="C22" i="2"/>
  <c r="L21" i="2"/>
  <c r="J21" i="2"/>
  <c r="K21" i="2"/>
  <c r="D21" i="2"/>
  <c r="F21" i="2"/>
  <c r="G21" i="2"/>
  <c r="N21" i="2"/>
  <c r="O21" i="2"/>
  <c r="H21" i="2"/>
  <c r="C21" i="2"/>
  <c r="L20" i="2"/>
  <c r="H20" i="2"/>
  <c r="C20" i="2"/>
  <c r="L19" i="2"/>
  <c r="H19" i="2"/>
  <c r="C19" i="2"/>
  <c r="L18" i="2"/>
  <c r="H18" i="2"/>
  <c r="C18" i="2"/>
  <c r="L17" i="2"/>
  <c r="H17" i="2"/>
  <c r="D17" i="2"/>
  <c r="F17" i="2"/>
  <c r="G17" i="2"/>
  <c r="C17" i="2"/>
  <c r="L16" i="2"/>
  <c r="H16" i="2"/>
  <c r="C16" i="2"/>
  <c r="L15" i="2"/>
  <c r="H15" i="2"/>
  <c r="C15" i="2"/>
  <c r="L14" i="2"/>
  <c r="H14" i="2"/>
  <c r="C14" i="2"/>
  <c r="L13" i="2"/>
  <c r="J13" i="2"/>
  <c r="K13" i="2"/>
  <c r="D13" i="2"/>
  <c r="F13" i="2"/>
  <c r="G13" i="2"/>
  <c r="N13" i="2"/>
  <c r="O13" i="2"/>
  <c r="H13" i="2"/>
  <c r="C13" i="2"/>
  <c r="L12" i="2"/>
  <c r="H12" i="2"/>
  <c r="C12" i="2"/>
  <c r="L11" i="2"/>
  <c r="H11" i="2"/>
  <c r="C11" i="2"/>
  <c r="AH29" i="1"/>
  <c r="AF29" i="1"/>
  <c r="AE29" i="1"/>
  <c r="AC29" i="1"/>
  <c r="AA29" i="1"/>
  <c r="Y29" i="1"/>
  <c r="W29" i="1"/>
  <c r="I29" i="1"/>
  <c r="J28" i="1"/>
  <c r="E29" i="1"/>
  <c r="D28" i="1"/>
  <c r="B29" i="1"/>
  <c r="L28" i="1"/>
  <c r="K28" i="1"/>
  <c r="H28" i="1"/>
  <c r="F28" i="1"/>
  <c r="G28" i="1"/>
  <c r="C28" i="1"/>
  <c r="L27" i="1"/>
  <c r="J27" i="1"/>
  <c r="K27" i="1"/>
  <c r="H27" i="1"/>
  <c r="C27" i="1"/>
  <c r="L26" i="1"/>
  <c r="J26" i="1"/>
  <c r="K26" i="1"/>
  <c r="H26" i="1"/>
  <c r="D26" i="1"/>
  <c r="F26" i="1"/>
  <c r="G26" i="1"/>
  <c r="C26" i="1"/>
  <c r="L25" i="1"/>
  <c r="J25" i="1"/>
  <c r="K25" i="1"/>
  <c r="H25" i="1"/>
  <c r="D25" i="1"/>
  <c r="F25" i="1"/>
  <c r="G25" i="1"/>
  <c r="C25" i="1"/>
  <c r="L24" i="1"/>
  <c r="J24" i="1"/>
  <c r="K24" i="1"/>
  <c r="H24" i="1"/>
  <c r="D24" i="1"/>
  <c r="F24" i="1"/>
  <c r="G24" i="1"/>
  <c r="C24" i="1"/>
  <c r="L23" i="1"/>
  <c r="J23" i="1"/>
  <c r="K23" i="1"/>
  <c r="H23" i="1"/>
  <c r="D23" i="1"/>
  <c r="F23" i="1"/>
  <c r="G23" i="1"/>
  <c r="C23" i="1"/>
  <c r="L22" i="1"/>
  <c r="J22" i="1"/>
  <c r="K22" i="1"/>
  <c r="H22" i="1"/>
  <c r="D22" i="1"/>
  <c r="F22" i="1"/>
  <c r="G22" i="1"/>
  <c r="C22" i="1"/>
  <c r="L21" i="1"/>
  <c r="J21" i="1"/>
  <c r="K21" i="1"/>
  <c r="H21" i="1"/>
  <c r="D21" i="1"/>
  <c r="F21" i="1"/>
  <c r="G21" i="1"/>
  <c r="C21" i="1"/>
  <c r="L20" i="1"/>
  <c r="J20" i="1"/>
  <c r="K20" i="1"/>
  <c r="H20" i="1"/>
  <c r="D20" i="1"/>
  <c r="F20" i="1"/>
  <c r="G20" i="1"/>
  <c r="C20" i="1"/>
  <c r="L19" i="1"/>
  <c r="J19" i="1"/>
  <c r="K19" i="1"/>
  <c r="H19" i="1"/>
  <c r="D19" i="1"/>
  <c r="F19" i="1"/>
  <c r="G19" i="1"/>
  <c r="C19" i="1"/>
  <c r="L18" i="1"/>
  <c r="J18" i="1"/>
  <c r="K18" i="1"/>
  <c r="H18" i="1"/>
  <c r="D18" i="1"/>
  <c r="F18" i="1"/>
  <c r="G18" i="1"/>
  <c r="C18" i="1"/>
  <c r="L17" i="1"/>
  <c r="J17" i="1"/>
  <c r="K17" i="1"/>
  <c r="H17" i="1"/>
  <c r="D17" i="1"/>
  <c r="F17" i="1"/>
  <c r="G17" i="1"/>
  <c r="C17" i="1"/>
  <c r="L16" i="1"/>
  <c r="J16" i="1"/>
  <c r="K16" i="1"/>
  <c r="H16" i="1"/>
  <c r="D16" i="1"/>
  <c r="F16" i="1"/>
  <c r="G16" i="1"/>
  <c r="C16" i="1"/>
  <c r="L15" i="1"/>
  <c r="J15" i="1"/>
  <c r="K15" i="1"/>
  <c r="H15" i="1"/>
  <c r="D15" i="1"/>
  <c r="F15" i="1"/>
  <c r="G15" i="1"/>
  <c r="C15" i="1"/>
  <c r="L14" i="1"/>
  <c r="J14" i="1"/>
  <c r="K14" i="1"/>
  <c r="H14" i="1"/>
  <c r="D14" i="1"/>
  <c r="F14" i="1"/>
  <c r="G14" i="1"/>
  <c r="C14" i="1"/>
  <c r="L13" i="1"/>
  <c r="J13" i="1"/>
  <c r="K13" i="1"/>
  <c r="H13" i="1"/>
  <c r="D13" i="1"/>
  <c r="F13" i="1"/>
  <c r="G13" i="1"/>
  <c r="C13" i="1"/>
  <c r="L12" i="1"/>
  <c r="J12" i="1"/>
  <c r="K12" i="1"/>
  <c r="H12" i="1"/>
  <c r="D12" i="1"/>
  <c r="F12" i="1"/>
  <c r="G12" i="1"/>
  <c r="C12" i="1"/>
  <c r="L11" i="1"/>
  <c r="J11" i="1"/>
  <c r="K11" i="1"/>
  <c r="H11" i="1"/>
  <c r="D11" i="1"/>
  <c r="F11" i="1"/>
  <c r="G11" i="1"/>
  <c r="C11" i="1"/>
  <c r="L10" i="1"/>
  <c r="J10" i="1"/>
  <c r="K10" i="1"/>
  <c r="H10" i="1"/>
  <c r="D10" i="1"/>
  <c r="F10" i="1"/>
  <c r="G10" i="1"/>
  <c r="C10" i="1"/>
  <c r="L9" i="1"/>
  <c r="J9" i="1"/>
  <c r="H9" i="1"/>
  <c r="D9" i="1"/>
  <c r="C9" i="1"/>
  <c r="J17" i="2"/>
  <c r="K17" i="2"/>
  <c r="N17" i="2"/>
  <c r="O17" i="2"/>
  <c r="J25" i="2"/>
  <c r="K25" i="2"/>
  <c r="J29" i="2"/>
  <c r="K29" i="2"/>
  <c r="N29" i="2"/>
  <c r="O29" i="2"/>
  <c r="H9" i="5"/>
  <c r="H13" i="5"/>
  <c r="H21" i="5"/>
  <c r="F12" i="6"/>
  <c r="H12" i="6"/>
  <c r="F16" i="6"/>
  <c r="H16" i="6"/>
  <c r="F20" i="6"/>
  <c r="H20" i="6"/>
  <c r="F24" i="6"/>
  <c r="H24" i="6"/>
  <c r="G11" i="4"/>
  <c r="G13" i="4"/>
  <c r="G15" i="4"/>
  <c r="G17" i="4"/>
  <c r="G19" i="4"/>
  <c r="G23" i="4"/>
  <c r="M11" i="2"/>
  <c r="M19" i="2"/>
  <c r="M27" i="2"/>
  <c r="M18" i="1"/>
  <c r="H27" i="5"/>
  <c r="F26" i="6"/>
  <c r="H26" i="6"/>
  <c r="G26" i="4"/>
  <c r="H12" i="5"/>
  <c r="H14" i="5"/>
  <c r="H16" i="5"/>
  <c r="H18" i="5"/>
  <c r="H20" i="5"/>
  <c r="H22" i="5"/>
  <c r="M11" i="1"/>
  <c r="N13" i="1"/>
  <c r="O13" i="1"/>
  <c r="M24" i="1"/>
  <c r="N25" i="1"/>
  <c r="O25" i="1"/>
  <c r="N17" i="1"/>
  <c r="O17" i="1"/>
  <c r="I29" i="3"/>
  <c r="M16" i="2"/>
  <c r="M18" i="2"/>
  <c r="M24" i="2"/>
  <c r="M26" i="2"/>
  <c r="I14" i="3"/>
  <c r="I21" i="3"/>
  <c r="G10" i="4"/>
  <c r="G14" i="4"/>
  <c r="G18" i="4"/>
  <c r="G28" i="4"/>
  <c r="H15" i="5"/>
  <c r="H25" i="5"/>
  <c r="I12" i="3"/>
  <c r="I16" i="3"/>
  <c r="I19" i="3"/>
  <c r="I28" i="3"/>
  <c r="G27" i="4"/>
  <c r="G29" i="4"/>
  <c r="H26" i="5"/>
  <c r="H28" i="5"/>
  <c r="L12" i="7"/>
  <c r="M12" i="7"/>
  <c r="L16" i="7"/>
  <c r="M16" i="7"/>
  <c r="L20" i="7"/>
  <c r="M20" i="7"/>
  <c r="L24" i="7"/>
  <c r="M24" i="7"/>
  <c r="G16" i="4"/>
  <c r="G25" i="4"/>
  <c r="D29" i="5"/>
  <c r="H11" i="5"/>
  <c r="H17" i="5"/>
  <c r="H24" i="5"/>
  <c r="F25" i="6"/>
  <c r="H25" i="6"/>
  <c r="F28" i="6"/>
  <c r="H28" i="6"/>
  <c r="L18" i="7"/>
  <c r="M18" i="7"/>
  <c r="M22" i="1"/>
  <c r="M17" i="2"/>
  <c r="M25" i="2"/>
  <c r="G22" i="4"/>
  <c r="G24" i="4"/>
  <c r="H10" i="5"/>
  <c r="H19" i="5"/>
  <c r="D29" i="6"/>
  <c r="C30" i="7"/>
  <c r="L11" i="7"/>
  <c r="M11" i="7"/>
  <c r="L15" i="7"/>
  <c r="M15" i="7"/>
  <c r="L19" i="7"/>
  <c r="M19" i="7"/>
  <c r="L23" i="7"/>
  <c r="M23" i="7"/>
  <c r="L27" i="7"/>
  <c r="M27" i="7"/>
  <c r="L28" i="7"/>
  <c r="M28" i="7"/>
  <c r="M13" i="1"/>
  <c r="N14" i="1"/>
  <c r="O14" i="1"/>
  <c r="G21" i="4"/>
  <c r="G29" i="5"/>
  <c r="H23" i="5"/>
  <c r="F14" i="8"/>
  <c r="G14" i="8"/>
  <c r="F18" i="8"/>
  <c r="G18" i="8"/>
  <c r="F29" i="8"/>
  <c r="G29" i="8"/>
  <c r="E30" i="8"/>
  <c r="C30" i="8"/>
  <c r="J30" i="7"/>
  <c r="L13" i="7"/>
  <c r="M13" i="7"/>
  <c r="L14" i="7"/>
  <c r="M14" i="7"/>
  <c r="L17" i="7"/>
  <c r="M17" i="7"/>
  <c r="L21" i="7"/>
  <c r="M21" i="7"/>
  <c r="L22" i="7"/>
  <c r="M22" i="7"/>
  <c r="L25" i="7"/>
  <c r="M25" i="7"/>
  <c r="L26" i="7"/>
  <c r="M26" i="7"/>
  <c r="L29" i="7"/>
  <c r="M29" i="7"/>
  <c r="I27" i="3"/>
  <c r="D31" i="3"/>
  <c r="J31" i="3"/>
  <c r="M12" i="2"/>
  <c r="M13" i="2"/>
  <c r="M14" i="2"/>
  <c r="M20" i="2"/>
  <c r="M21" i="2"/>
  <c r="M22" i="2"/>
  <c r="M28" i="2"/>
  <c r="M29" i="2"/>
  <c r="M30" i="2"/>
  <c r="M15" i="2"/>
  <c r="M23" i="2"/>
  <c r="N10" i="1"/>
  <c r="O10" i="1"/>
  <c r="J29" i="1"/>
  <c r="H29" i="1"/>
  <c r="M15" i="1"/>
  <c r="M17" i="1"/>
  <c r="M21" i="1"/>
  <c r="M26" i="1"/>
  <c r="D27" i="1"/>
  <c r="F27" i="1"/>
  <c r="G27" i="1"/>
  <c r="M16" i="1"/>
  <c r="M20" i="1"/>
  <c r="M9" i="1"/>
  <c r="M12" i="1"/>
  <c r="M14" i="1"/>
  <c r="N21" i="1"/>
  <c r="O21" i="1"/>
  <c r="M25" i="1"/>
  <c r="M28" i="1"/>
  <c r="E27" i="9"/>
  <c r="F12" i="8"/>
  <c r="G12" i="8"/>
  <c r="F16" i="8"/>
  <c r="G16" i="8"/>
  <c r="F20" i="8"/>
  <c r="G20" i="8"/>
  <c r="F24" i="8"/>
  <c r="G24" i="8"/>
  <c r="F28" i="8"/>
  <c r="G28" i="8"/>
  <c r="F11" i="8"/>
  <c r="G11" i="8"/>
  <c r="F15" i="8"/>
  <c r="G15" i="8"/>
  <c r="F19" i="8"/>
  <c r="G19" i="8"/>
  <c r="F23" i="8"/>
  <c r="G23" i="8"/>
  <c r="F27" i="8"/>
  <c r="G27" i="8"/>
  <c r="K30" i="7"/>
  <c r="L10" i="7"/>
  <c r="M10" i="7"/>
  <c r="F30" i="7"/>
  <c r="F10" i="6"/>
  <c r="F14" i="6"/>
  <c r="H14" i="6"/>
  <c r="F18" i="6"/>
  <c r="H18" i="6"/>
  <c r="F22" i="6"/>
  <c r="H22" i="6"/>
  <c r="N21" i="3"/>
  <c r="O21" i="3"/>
  <c r="N29" i="3"/>
  <c r="O29" i="3"/>
  <c r="N15" i="3"/>
  <c r="O15" i="3"/>
  <c r="N18" i="3"/>
  <c r="O18" i="3"/>
  <c r="N26" i="3"/>
  <c r="O26" i="3"/>
  <c r="N11" i="3"/>
  <c r="O11" i="3"/>
  <c r="G31" i="3"/>
  <c r="N16" i="3"/>
  <c r="O16" i="3"/>
  <c r="N19" i="3"/>
  <c r="O19" i="3"/>
  <c r="N23" i="3"/>
  <c r="O23" i="3"/>
  <c r="N24" i="3"/>
  <c r="O24" i="3"/>
  <c r="N27" i="3"/>
  <c r="O27" i="3"/>
  <c r="N30" i="3"/>
  <c r="O30" i="3"/>
  <c r="N20" i="3"/>
  <c r="O20" i="3"/>
  <c r="N25" i="3"/>
  <c r="O25" i="3"/>
  <c r="N28" i="3"/>
  <c r="O28" i="3"/>
  <c r="N17" i="3"/>
  <c r="O17" i="3"/>
  <c r="N22" i="3"/>
  <c r="O22" i="3"/>
  <c r="N12" i="3"/>
  <c r="O12" i="3"/>
  <c r="N13" i="3"/>
  <c r="O13" i="3"/>
  <c r="N14" i="3"/>
  <c r="O14" i="3"/>
  <c r="I11" i="3"/>
  <c r="I17" i="3"/>
  <c r="I22" i="3"/>
  <c r="I23" i="3"/>
  <c r="I24" i="3"/>
  <c r="I26" i="3"/>
  <c r="I30" i="3"/>
  <c r="L11" i="3"/>
  <c r="L31" i="2"/>
  <c r="C31" i="2"/>
  <c r="N25" i="2"/>
  <c r="O25" i="2"/>
  <c r="D14" i="2"/>
  <c r="F14" i="2"/>
  <c r="G14" i="2"/>
  <c r="J14" i="2"/>
  <c r="K14" i="2"/>
  <c r="N14" i="2"/>
  <c r="O14" i="2"/>
  <c r="D18" i="2"/>
  <c r="F18" i="2"/>
  <c r="G18" i="2"/>
  <c r="J18" i="2"/>
  <c r="K18" i="2"/>
  <c r="D22" i="2"/>
  <c r="F22" i="2"/>
  <c r="G22" i="2"/>
  <c r="J22" i="2"/>
  <c r="K22" i="2"/>
  <c r="N22" i="2"/>
  <c r="O22" i="2"/>
  <c r="D26" i="2"/>
  <c r="F26" i="2"/>
  <c r="G26" i="2"/>
  <c r="J26" i="2"/>
  <c r="K26" i="2"/>
  <c r="D30" i="2"/>
  <c r="F30" i="2"/>
  <c r="G30" i="2"/>
  <c r="J30" i="2"/>
  <c r="K30" i="2"/>
  <c r="N30" i="2"/>
  <c r="O30" i="2"/>
  <c r="H31" i="2"/>
  <c r="D12" i="2"/>
  <c r="F12" i="2"/>
  <c r="G12" i="2"/>
  <c r="J12" i="2"/>
  <c r="K12" i="2"/>
  <c r="D16" i="2"/>
  <c r="F16" i="2"/>
  <c r="G16" i="2"/>
  <c r="J16" i="2"/>
  <c r="K16" i="2"/>
  <c r="D20" i="2"/>
  <c r="F20" i="2"/>
  <c r="G20" i="2"/>
  <c r="J20" i="2"/>
  <c r="K20" i="2"/>
  <c r="D24" i="2"/>
  <c r="F24" i="2"/>
  <c r="G24" i="2"/>
  <c r="J24" i="2"/>
  <c r="K24" i="2"/>
  <c r="D28" i="2"/>
  <c r="F28" i="2"/>
  <c r="G28" i="2"/>
  <c r="J28" i="2"/>
  <c r="K28" i="2"/>
  <c r="D11" i="2"/>
  <c r="J11" i="2"/>
  <c r="D15" i="2"/>
  <c r="F15" i="2"/>
  <c r="G15" i="2"/>
  <c r="J15" i="2"/>
  <c r="K15" i="2"/>
  <c r="D19" i="2"/>
  <c r="F19" i="2"/>
  <c r="G19" i="2"/>
  <c r="J19" i="2"/>
  <c r="K19" i="2"/>
  <c r="D23" i="2"/>
  <c r="F23" i="2"/>
  <c r="G23" i="2"/>
  <c r="J23" i="2"/>
  <c r="K23" i="2"/>
  <c r="N15" i="1"/>
  <c r="O15" i="1"/>
  <c r="F9" i="1"/>
  <c r="G9" i="1"/>
  <c r="L29" i="1"/>
  <c r="N12" i="1"/>
  <c r="O12" i="1"/>
  <c r="N16" i="1"/>
  <c r="O16" i="1"/>
  <c r="N18" i="1"/>
  <c r="O18" i="1"/>
  <c r="M19" i="1"/>
  <c r="N22" i="1"/>
  <c r="O22" i="1"/>
  <c r="M23" i="1"/>
  <c r="N26" i="1"/>
  <c r="O26" i="1"/>
  <c r="M27" i="1"/>
  <c r="N28" i="1"/>
  <c r="O28" i="1"/>
  <c r="N19" i="1"/>
  <c r="O19" i="1"/>
  <c r="N23" i="1"/>
  <c r="O23" i="1"/>
  <c r="N27" i="1"/>
  <c r="O27" i="1"/>
  <c r="C29" i="1"/>
  <c r="M10" i="1"/>
  <c r="N20" i="1"/>
  <c r="O20" i="1"/>
  <c r="N24" i="1"/>
  <c r="O24" i="1"/>
  <c r="K9" i="1"/>
  <c r="N11" i="1"/>
  <c r="O11" i="1"/>
  <c r="G30" i="4"/>
  <c r="D29" i="1"/>
  <c r="F29" i="1"/>
  <c r="G29" i="1"/>
  <c r="H29" i="5"/>
  <c r="L30" i="7"/>
  <c r="M30" i="7"/>
  <c r="N26" i="2"/>
  <c r="O26" i="2"/>
  <c r="N18" i="2"/>
  <c r="O18" i="2"/>
  <c r="M29" i="1"/>
  <c r="G30" i="8"/>
  <c r="H27" i="8"/>
  <c r="I27" i="8"/>
  <c r="J27" i="8"/>
  <c r="K27" i="8"/>
  <c r="M27" i="8"/>
  <c r="H23" i="8"/>
  <c r="I23" i="8"/>
  <c r="J23" i="8"/>
  <c r="K23" i="8"/>
  <c r="M23" i="8"/>
  <c r="F30" i="8"/>
  <c r="G30" i="7"/>
  <c r="G27" i="7"/>
  <c r="H27" i="7"/>
  <c r="I27" i="7"/>
  <c r="G15" i="7"/>
  <c r="H15" i="7"/>
  <c r="I15" i="7"/>
  <c r="G13" i="7"/>
  <c r="H13" i="7"/>
  <c r="I13" i="7"/>
  <c r="G11" i="7"/>
  <c r="H11" i="7"/>
  <c r="I11" i="7"/>
  <c r="G29" i="7"/>
  <c r="H29" i="7"/>
  <c r="I29" i="7"/>
  <c r="G25" i="7"/>
  <c r="H25" i="7"/>
  <c r="I25" i="7"/>
  <c r="G23" i="7"/>
  <c r="H23" i="7"/>
  <c r="I23" i="7"/>
  <c r="G21" i="7"/>
  <c r="H21" i="7"/>
  <c r="I21" i="7"/>
  <c r="G19" i="7"/>
  <c r="H19" i="7"/>
  <c r="I19" i="7"/>
  <c r="G17" i="7"/>
  <c r="H17" i="7"/>
  <c r="I17" i="7"/>
  <c r="G10" i="7"/>
  <c r="H10" i="7"/>
  <c r="G16" i="7"/>
  <c r="H16" i="7"/>
  <c r="I16" i="7"/>
  <c r="G14" i="7"/>
  <c r="H14" i="7"/>
  <c r="I14" i="7"/>
  <c r="G20" i="7"/>
  <c r="H20" i="7"/>
  <c r="I20" i="7"/>
  <c r="G26" i="7"/>
  <c r="H26" i="7"/>
  <c r="I26" i="7"/>
  <c r="G18" i="7"/>
  <c r="H18" i="7"/>
  <c r="I18" i="7"/>
  <c r="G28" i="7"/>
  <c r="H28" i="7"/>
  <c r="I28" i="7"/>
  <c r="G12" i="7"/>
  <c r="H12" i="7"/>
  <c r="I12" i="7"/>
  <c r="G22" i="7"/>
  <c r="H22" i="7"/>
  <c r="I22" i="7"/>
  <c r="G24" i="7"/>
  <c r="H24" i="7"/>
  <c r="I24" i="7"/>
  <c r="H10" i="6"/>
  <c r="F29" i="6"/>
  <c r="L25" i="3"/>
  <c r="L29" i="3"/>
  <c r="O31" i="3"/>
  <c r="L26" i="3"/>
  <c r="L24" i="3"/>
  <c r="L16" i="3"/>
  <c r="L21" i="3"/>
  <c r="L17" i="3"/>
  <c r="N31" i="3"/>
  <c r="D31" i="2"/>
  <c r="F31" i="2"/>
  <c r="F11" i="2"/>
  <c r="G11" i="2"/>
  <c r="G31" i="2"/>
  <c r="N23" i="2"/>
  <c r="O23" i="2"/>
  <c r="N15" i="2"/>
  <c r="O15" i="2"/>
  <c r="N28" i="2"/>
  <c r="O28" i="2"/>
  <c r="N20" i="2"/>
  <c r="O20" i="2"/>
  <c r="N12" i="2"/>
  <c r="O12" i="2"/>
  <c r="N19" i="2"/>
  <c r="O19" i="2"/>
  <c r="J31" i="2"/>
  <c r="K11" i="2"/>
  <c r="N24" i="2"/>
  <c r="O24" i="2"/>
  <c r="N16" i="2"/>
  <c r="O16" i="2"/>
  <c r="M31" i="2"/>
  <c r="K29" i="1"/>
  <c r="N9" i="1"/>
  <c r="H12" i="8"/>
  <c r="I12" i="8"/>
  <c r="J12" i="8"/>
  <c r="K12" i="8"/>
  <c r="M12" i="8"/>
  <c r="H18" i="8"/>
  <c r="I18" i="8"/>
  <c r="J18" i="8"/>
  <c r="K18" i="8"/>
  <c r="M18" i="8"/>
  <c r="H25" i="8"/>
  <c r="I25" i="8"/>
  <c r="J25" i="8"/>
  <c r="K25" i="8"/>
  <c r="M25" i="8"/>
  <c r="H13" i="8"/>
  <c r="I13" i="8"/>
  <c r="J13" i="8"/>
  <c r="K13" i="8"/>
  <c r="M13" i="8"/>
  <c r="H29" i="8"/>
  <c r="I29" i="8"/>
  <c r="J29" i="8"/>
  <c r="K29" i="8"/>
  <c r="M29" i="8"/>
  <c r="H21" i="8"/>
  <c r="I21" i="8"/>
  <c r="J21" i="8"/>
  <c r="K21" i="8"/>
  <c r="M21" i="8"/>
  <c r="H17" i="8"/>
  <c r="I17" i="8"/>
  <c r="J17" i="8"/>
  <c r="K17" i="8"/>
  <c r="M17" i="8"/>
  <c r="H22" i="8"/>
  <c r="I22" i="8"/>
  <c r="J22" i="8"/>
  <c r="K22" i="8"/>
  <c r="M22" i="8"/>
  <c r="H10" i="8"/>
  <c r="H26" i="8"/>
  <c r="I26" i="8"/>
  <c r="J26" i="8"/>
  <c r="K26" i="8"/>
  <c r="M26" i="8"/>
  <c r="H14" i="8"/>
  <c r="I14" i="8"/>
  <c r="J14" i="8"/>
  <c r="K14" i="8"/>
  <c r="M14" i="8"/>
  <c r="H19" i="8"/>
  <c r="I19" i="8"/>
  <c r="J19" i="8"/>
  <c r="K19" i="8"/>
  <c r="M19" i="8"/>
  <c r="H28" i="8"/>
  <c r="I28" i="8"/>
  <c r="J28" i="8"/>
  <c r="K28" i="8"/>
  <c r="M28" i="8"/>
  <c r="H20" i="8"/>
  <c r="I20" i="8"/>
  <c r="J20" i="8"/>
  <c r="K20" i="8"/>
  <c r="M20" i="8"/>
  <c r="H24" i="8"/>
  <c r="I24" i="8"/>
  <c r="J24" i="8"/>
  <c r="K24" i="8"/>
  <c r="M24" i="8"/>
  <c r="H16" i="8"/>
  <c r="I16" i="8"/>
  <c r="J16" i="8"/>
  <c r="K16" i="8"/>
  <c r="M16" i="8"/>
  <c r="H11" i="8"/>
  <c r="I11" i="8"/>
  <c r="J11" i="8"/>
  <c r="K11" i="8"/>
  <c r="M11" i="8"/>
  <c r="H15" i="8"/>
  <c r="I15" i="8"/>
  <c r="J15" i="8"/>
  <c r="K15" i="8"/>
  <c r="M15" i="8"/>
  <c r="H30" i="7"/>
  <c r="I30" i="7"/>
  <c r="I10" i="7"/>
  <c r="H29" i="6"/>
  <c r="L31" i="3"/>
  <c r="K31" i="2"/>
  <c r="N11" i="2"/>
  <c r="N29" i="1"/>
  <c r="O9" i="1"/>
  <c r="I10" i="8"/>
  <c r="H30" i="8"/>
  <c r="I29" i="6"/>
  <c r="I16" i="6"/>
  <c r="J16" i="6"/>
  <c r="K16" i="6"/>
  <c r="I11" i="6"/>
  <c r="J11" i="6"/>
  <c r="K11" i="6"/>
  <c r="I25" i="6"/>
  <c r="J25" i="6"/>
  <c r="K25" i="6"/>
  <c r="I26" i="6"/>
  <c r="J26" i="6"/>
  <c r="K26" i="6"/>
  <c r="I12" i="6"/>
  <c r="J12" i="6"/>
  <c r="K12" i="6"/>
  <c r="I23" i="6"/>
  <c r="J23" i="6"/>
  <c r="K23" i="6"/>
  <c r="I15" i="6"/>
  <c r="J15" i="6"/>
  <c r="K15" i="6"/>
  <c r="I9" i="6"/>
  <c r="J9" i="6"/>
  <c r="K9" i="6"/>
  <c r="I24" i="6"/>
  <c r="J24" i="6"/>
  <c r="K24" i="6"/>
  <c r="I21" i="6"/>
  <c r="J21" i="6"/>
  <c r="K21" i="6"/>
  <c r="I17" i="6"/>
  <c r="J17" i="6"/>
  <c r="K17" i="6"/>
  <c r="I27" i="6"/>
  <c r="J27" i="6"/>
  <c r="K27" i="6"/>
  <c r="I13" i="6"/>
  <c r="J13" i="6"/>
  <c r="K13" i="6"/>
  <c r="I28" i="6"/>
  <c r="J28" i="6"/>
  <c r="K28" i="6"/>
  <c r="I20" i="6"/>
  <c r="J20" i="6"/>
  <c r="K20" i="6"/>
  <c r="I19" i="6"/>
  <c r="J19" i="6"/>
  <c r="K19" i="6"/>
  <c r="I22" i="6"/>
  <c r="J22" i="6"/>
  <c r="K22" i="6"/>
  <c r="I14" i="6"/>
  <c r="J14" i="6"/>
  <c r="K14" i="6"/>
  <c r="I18" i="6"/>
  <c r="J18" i="6"/>
  <c r="K18" i="6"/>
  <c r="I10" i="6"/>
  <c r="J10" i="6"/>
  <c r="K10" i="6"/>
  <c r="N31" i="2"/>
  <c r="O11" i="2"/>
  <c r="O29" i="1"/>
  <c r="I30" i="8"/>
  <c r="J10" i="8"/>
  <c r="K29" i="6"/>
  <c r="O31" i="2"/>
  <c r="P11" i="2"/>
  <c r="P14" i="1"/>
  <c r="Q14" i="1"/>
  <c r="R14" i="1"/>
  <c r="T14" i="1"/>
  <c r="AJ14" i="1"/>
  <c r="P13" i="1"/>
  <c r="Q13" i="1"/>
  <c r="R13" i="1"/>
  <c r="T13" i="1"/>
  <c r="AJ13" i="1"/>
  <c r="P10" i="1"/>
  <c r="Q10" i="1"/>
  <c r="R10" i="1"/>
  <c r="T10" i="1"/>
  <c r="AJ10" i="1"/>
  <c r="P17" i="1"/>
  <c r="Q17" i="1"/>
  <c r="R17" i="1"/>
  <c r="T17" i="1"/>
  <c r="AJ17" i="1"/>
  <c r="P21" i="1"/>
  <c r="Q21" i="1"/>
  <c r="R21" i="1"/>
  <c r="T21" i="1"/>
  <c r="AJ21" i="1"/>
  <c r="P25" i="1"/>
  <c r="Q25" i="1"/>
  <c r="R25" i="1"/>
  <c r="T25" i="1"/>
  <c r="AJ25" i="1"/>
  <c r="P22" i="1"/>
  <c r="Q22" i="1"/>
  <c r="R22" i="1"/>
  <c r="T22" i="1"/>
  <c r="AJ22" i="1"/>
  <c r="P18" i="1"/>
  <c r="Q18" i="1"/>
  <c r="R18" i="1"/>
  <c r="T18" i="1"/>
  <c r="AJ18" i="1"/>
  <c r="P24" i="1"/>
  <c r="Q24" i="1"/>
  <c r="R24" i="1"/>
  <c r="T24" i="1"/>
  <c r="AJ24" i="1"/>
  <c r="P12" i="1"/>
  <c r="Q12" i="1"/>
  <c r="R12" i="1"/>
  <c r="T12" i="1"/>
  <c r="AJ12" i="1"/>
  <c r="P19" i="1"/>
  <c r="Q19" i="1"/>
  <c r="R19" i="1"/>
  <c r="T19" i="1"/>
  <c r="AJ19" i="1"/>
  <c r="P26" i="1"/>
  <c r="Q26" i="1"/>
  <c r="R26" i="1"/>
  <c r="T26" i="1"/>
  <c r="AJ26" i="1"/>
  <c r="P23" i="1"/>
  <c r="Q23" i="1"/>
  <c r="R23" i="1"/>
  <c r="T23" i="1"/>
  <c r="AJ23" i="1"/>
  <c r="P27" i="1"/>
  <c r="Q27" i="1"/>
  <c r="R27" i="1"/>
  <c r="T27" i="1"/>
  <c r="AJ27" i="1"/>
  <c r="P16" i="1"/>
  <c r="Q16" i="1"/>
  <c r="R16" i="1"/>
  <c r="T16" i="1"/>
  <c r="AJ16" i="1"/>
  <c r="P11" i="1"/>
  <c r="Q11" i="1"/>
  <c r="R11" i="1"/>
  <c r="T11" i="1"/>
  <c r="AJ11" i="1"/>
  <c r="P28" i="1"/>
  <c r="Q28" i="1"/>
  <c r="R28" i="1"/>
  <c r="T28" i="1"/>
  <c r="AJ28" i="1"/>
  <c r="P20" i="1"/>
  <c r="Q20" i="1"/>
  <c r="R20" i="1"/>
  <c r="T20" i="1"/>
  <c r="AJ20" i="1"/>
  <c r="P15" i="1"/>
  <c r="Q15" i="1"/>
  <c r="R15" i="1"/>
  <c r="T15" i="1"/>
  <c r="AJ15" i="1"/>
  <c r="P9" i="1"/>
  <c r="K10" i="8"/>
  <c r="J30" i="8"/>
  <c r="Q11" i="2"/>
  <c r="P13" i="2"/>
  <c r="Q13" i="2"/>
  <c r="R13" i="2"/>
  <c r="S13" i="2"/>
  <c r="P29" i="2"/>
  <c r="Q29" i="2"/>
  <c r="R29" i="2"/>
  <c r="S29" i="2"/>
  <c r="P27" i="2"/>
  <c r="Q27" i="2"/>
  <c r="R27" i="2"/>
  <c r="S27" i="2"/>
  <c r="P21" i="2"/>
  <c r="Q21" i="2"/>
  <c r="R21" i="2"/>
  <c r="S21" i="2"/>
  <c r="P30" i="2"/>
  <c r="Q30" i="2"/>
  <c r="R30" i="2"/>
  <c r="S30" i="2"/>
  <c r="P26" i="2"/>
  <c r="Q26" i="2"/>
  <c r="R26" i="2"/>
  <c r="S26" i="2"/>
  <c r="P22" i="2"/>
  <c r="Q22" i="2"/>
  <c r="R22" i="2"/>
  <c r="S22" i="2"/>
  <c r="P18" i="2"/>
  <c r="Q18" i="2"/>
  <c r="R18" i="2"/>
  <c r="S18" i="2"/>
  <c r="P14" i="2"/>
  <c r="Q14" i="2"/>
  <c r="R14" i="2"/>
  <c r="S14" i="2"/>
  <c r="P25" i="2"/>
  <c r="Q25" i="2"/>
  <c r="R25" i="2"/>
  <c r="S25" i="2"/>
  <c r="P17" i="2"/>
  <c r="Q17" i="2"/>
  <c r="R17" i="2"/>
  <c r="S17" i="2"/>
  <c r="P23" i="2"/>
  <c r="Q23" i="2"/>
  <c r="R23" i="2"/>
  <c r="S23" i="2"/>
  <c r="P16" i="2"/>
  <c r="Q16" i="2"/>
  <c r="R16" i="2"/>
  <c r="S16" i="2"/>
  <c r="P24" i="2"/>
  <c r="Q24" i="2"/>
  <c r="R24" i="2"/>
  <c r="S24" i="2"/>
  <c r="P15" i="2"/>
  <c r="Q15" i="2"/>
  <c r="R15" i="2"/>
  <c r="S15" i="2"/>
  <c r="P19" i="2"/>
  <c r="Q19" i="2"/>
  <c r="R19" i="2"/>
  <c r="S19" i="2"/>
  <c r="P28" i="2"/>
  <c r="Q28" i="2"/>
  <c r="R28" i="2"/>
  <c r="S28" i="2"/>
  <c r="P12" i="2"/>
  <c r="Q12" i="2"/>
  <c r="R12" i="2"/>
  <c r="S12" i="2"/>
  <c r="P20" i="2"/>
  <c r="Q20" i="2"/>
  <c r="R20" i="2"/>
  <c r="S20" i="2"/>
  <c r="Q9" i="1"/>
  <c r="P29" i="1"/>
  <c r="K30" i="8"/>
  <c r="M30" i="8"/>
  <c r="M10" i="8"/>
  <c r="P31" i="2"/>
  <c r="R11" i="2"/>
  <c r="Q31" i="2"/>
  <c r="Q29" i="1"/>
  <c r="R9" i="1"/>
  <c r="R31" i="2"/>
  <c r="S11" i="2"/>
  <c r="S31" i="2"/>
  <c r="R29" i="1"/>
  <c r="T9" i="1"/>
  <c r="AJ9" i="1"/>
  <c r="T29" i="1"/>
  <c r="AJ29" i="1"/>
  <c r="AI20" i="1"/>
  <c r="AI13" i="1"/>
  <c r="AI21" i="1"/>
  <c r="AI11" i="1"/>
  <c r="AI15" i="1"/>
  <c r="AI10" i="1"/>
  <c r="AI28" i="1"/>
  <c r="AI26" i="1"/>
  <c r="AI16" i="1"/>
  <c r="AI12" i="1"/>
  <c r="AI23" i="1"/>
  <c r="AI18" i="1"/>
  <c r="AI19" i="1"/>
  <c r="AI27" i="1"/>
  <c r="AI25" i="1"/>
  <c r="AI24" i="1"/>
  <c r="AI17" i="1"/>
  <c r="AI22" i="1"/>
  <c r="AI14" i="1"/>
  <c r="AI9" i="1"/>
  <c r="AI29" i="1"/>
</calcChain>
</file>

<file path=xl/sharedStrings.xml><?xml version="1.0" encoding="utf-8"?>
<sst xmlns="http://schemas.openxmlformats.org/spreadsheetml/2006/main" count="833" uniqueCount="289">
  <si>
    <t>PORCENTAJES Y MONTOS ESTIMADOS DE PARTICIPACIONES FEDERALES CORRESPONDIENTE A LOS MUNICIPIOS PARA EL EJERCICIO FISCAL 2016</t>
  </si>
  <si>
    <t>MUNICIPIO</t>
  </si>
  <si>
    <t>FONDO GENERAL DE PARTICIPACIONES</t>
  </si>
  <si>
    <t>FONDO DE FOMENTO MUNICIPAL</t>
  </si>
  <si>
    <t>FONDO DE FISCALIZACION Y RECAUDACION</t>
  </si>
  <si>
    <t>FONDO DE COMPENSACION</t>
  </si>
  <si>
    <t>IMPUESTO ESPECIAL SOBRE PRODUCCION Y SERVICIOS</t>
  </si>
  <si>
    <t>VENTA FINAL DE GASOLINA Y DIESEL</t>
  </si>
  <si>
    <t>TENENCIA FEDERAL*</t>
  </si>
  <si>
    <t>ISAN* Y FONDO DE COMPENSACION DE ISAN</t>
  </si>
  <si>
    <t>TOTAL DE PARTICIPACIONES</t>
  </si>
  <si>
    <t xml:space="preserve">Factor de Distribuciòn </t>
  </si>
  <si>
    <t>Primera parte del Coeficiente 60% (relativa a Poblaciòn)</t>
  </si>
  <si>
    <t>Segunda parte del fondo 30% (relativa a Recaudación)</t>
  </si>
  <si>
    <t>Suma de Asignaciones</t>
  </si>
  <si>
    <t>Tercera parte del fondo 10% (relativa a Resarcitoria)</t>
  </si>
  <si>
    <t>IMPORTE</t>
  </si>
  <si>
    <t>COMPONENTE SOLO PARA LOS QUE SUSCRIBIERON CONVENIO PARA EL COBRO DE PREDIAL</t>
  </si>
  <si>
    <t>PORCENTAJE</t>
  </si>
  <si>
    <t>Distribuido</t>
  </si>
  <si>
    <t xml:space="preserve">Población </t>
  </si>
  <si>
    <t>Coeficiente</t>
  </si>
  <si>
    <t xml:space="preserve">coeficiente </t>
  </si>
  <si>
    <t>Distribucion</t>
  </si>
  <si>
    <t>Recaudacion Agua Potable y Predial</t>
  </si>
  <si>
    <t>Coeficiente de Participacion</t>
  </si>
  <si>
    <t>Distribucion del FGP</t>
  </si>
  <si>
    <t>Porcentaje que representa</t>
  </si>
  <si>
    <t>Coeficiente 3</t>
  </si>
  <si>
    <t>FACTOR DE</t>
  </si>
  <si>
    <t>en</t>
  </si>
  <si>
    <t xml:space="preserve">de </t>
  </si>
  <si>
    <t>efectivo</t>
  </si>
  <si>
    <t>del FGP</t>
  </si>
  <si>
    <t>de Participaciòn</t>
  </si>
  <si>
    <t>Resarcitorio</t>
  </si>
  <si>
    <t>DISTRIBUCION</t>
  </si>
  <si>
    <t>2014</t>
  </si>
  <si>
    <t>Relativa</t>
  </si>
  <si>
    <t>Absoluta</t>
  </si>
  <si>
    <t>Participacion</t>
  </si>
  <si>
    <t>2014/2013</t>
  </si>
  <si>
    <t>C 2</t>
  </si>
  <si>
    <t>resarcitoria</t>
  </si>
  <si>
    <t>Inverso en $</t>
  </si>
  <si>
    <t>$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</si>
  <si>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</si>
  <si>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</si>
  <si>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</si>
  <si>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</si>
  <si>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</si>
  <si>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</si>
  <si>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</si>
  <si>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</si>
  <si>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</si>
  <si>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</si>
  <si>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</si>
  <si>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</si>
  <si>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</si>
  <si>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</si>
  <si>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</si>
  <si>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</si>
  <si>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</si>
  <si>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</si>
  <si>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</si>
  <si>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</si>
  <si>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Totales</t>
  </si>
  <si>
    <t>Las cifras parciales pueden no coincidir con el total debido al redondeo</t>
  </si>
  <si>
    <t>NOTA:</t>
  </si>
  <si>
    <t>* Tenencia Federal de ejercicios anteriores a 2010 y el ISAN corresponden a ingresos recaudados en la entidad</t>
  </si>
  <si>
    <t>Cuadro No. 1</t>
  </si>
  <si>
    <t xml:space="preserve">Cálculo del Coeficiente de Participación Fondo General de Participaciones </t>
  </si>
  <si>
    <t>Municipios</t>
  </si>
  <si>
    <t xml:space="preserve">Factor de Distribución </t>
  </si>
  <si>
    <t>Primera parte del Coeficiente 60% (relativa a Población)</t>
  </si>
  <si>
    <t>(13=(2+6+10+12))</t>
  </si>
  <si>
    <t>Distribución</t>
  </si>
  <si>
    <t>Recaudación Agua Potable y Predial</t>
  </si>
  <si>
    <t>Coeficiente de Participación</t>
  </si>
  <si>
    <t>Distribución del FGP</t>
  </si>
  <si>
    <t>de Participación</t>
  </si>
  <si>
    <t>Participación</t>
  </si>
  <si>
    <t>(1)</t>
  </si>
  <si>
    <t>(2)</t>
  </si>
  <si>
    <t>(3=4/∑4)100</t>
  </si>
  <si>
    <t>(3)</t>
  </si>
  <si>
    <t>(4)</t>
  </si>
  <si>
    <t>(5)</t>
  </si>
  <si>
    <t>(6)</t>
  </si>
  <si>
    <t>(7)</t>
  </si>
  <si>
    <t>(8=(7/∑7)100)</t>
  </si>
  <si>
    <t>(9)</t>
  </si>
  <si>
    <t>(10)</t>
  </si>
  <si>
    <t>(11)</t>
  </si>
  <si>
    <t>(12)</t>
  </si>
  <si>
    <t>Población: Censo Nacional de Población y Vivienda 2010 de INEGI</t>
  </si>
  <si>
    <t>Cuadro No. 2</t>
  </si>
  <si>
    <t>Convenio</t>
  </si>
  <si>
    <t>Cálculo de la distribución del crecimiento del Fondo de Fomento Municipal a los Municipios</t>
  </si>
  <si>
    <t>Total</t>
  </si>
  <si>
    <t>Fondo de Fomento Municipal</t>
  </si>
  <si>
    <t>Población en 2010</t>
  </si>
  <si>
    <t>Crecimiento en el 2016 (70% general + 30% a municipios que celebren convenio)</t>
  </si>
  <si>
    <t xml:space="preserve">Fondo de </t>
  </si>
  <si>
    <t>Factor de</t>
  </si>
  <si>
    <t xml:space="preserve">FFM </t>
  </si>
  <si>
    <t>relativa</t>
  </si>
  <si>
    <t xml:space="preserve"> Rec. de Predial y Agua</t>
  </si>
  <si>
    <t>Distribución por</t>
  </si>
  <si>
    <t xml:space="preserve">Recaudación Predial </t>
  </si>
  <si>
    <t>Total Distribución</t>
  </si>
  <si>
    <t xml:space="preserve">Fomento </t>
  </si>
  <si>
    <t>distribuido en</t>
  </si>
  <si>
    <t xml:space="preserve">No. de </t>
  </si>
  <si>
    <t>%</t>
  </si>
  <si>
    <t>x población</t>
  </si>
  <si>
    <t>predial y agua</t>
  </si>
  <si>
    <t>predial</t>
  </si>
  <si>
    <t>del crecimiento</t>
  </si>
  <si>
    <t>Municipal</t>
  </si>
  <si>
    <t>habitantes</t>
  </si>
  <si>
    <t>35%</t>
  </si>
  <si>
    <t>absoluta</t>
  </si>
  <si>
    <t>30%</t>
  </si>
  <si>
    <t>del F.F.M.</t>
  </si>
  <si>
    <t>(5= 70%/2 x 4)</t>
  </si>
  <si>
    <t>(8=70%/2*7)</t>
  </si>
  <si>
    <t>(11=30%*10)</t>
  </si>
  <si>
    <t>(12=5+8+11)</t>
  </si>
  <si>
    <t>(13=2+12)</t>
  </si>
  <si>
    <t>Si</t>
  </si>
  <si>
    <t>No</t>
  </si>
  <si>
    <t>SI</t>
  </si>
  <si>
    <t>Cuadro No. 3</t>
  </si>
  <si>
    <t>Porcentaje, variables y cálculo del Coeficiente de Participación del IEPS para el ejercicio 2016.</t>
  </si>
  <si>
    <t xml:space="preserve">Estimado </t>
  </si>
  <si>
    <t>factor de distribución 2016</t>
  </si>
  <si>
    <t xml:space="preserve">crecimiento del </t>
  </si>
  <si>
    <t>IEPS</t>
  </si>
  <si>
    <t>total de IEPS</t>
  </si>
  <si>
    <t xml:space="preserve">a </t>
  </si>
  <si>
    <t xml:space="preserve">EN </t>
  </si>
  <si>
    <t>2016</t>
  </si>
  <si>
    <t>($)</t>
  </si>
  <si>
    <t>Cuadro No. 4</t>
  </si>
  <si>
    <t>Porcentaje, variable y cálculo del Coeficiente de Participación por venta de Gasolina y Diesel</t>
  </si>
  <si>
    <t>Crecimiento</t>
  </si>
  <si>
    <t>a municipios</t>
  </si>
  <si>
    <t>2014 ($)</t>
  </si>
  <si>
    <t>para 2016</t>
  </si>
  <si>
    <t>para el 2016 ($)</t>
  </si>
  <si>
    <t>Cuadro No. 5</t>
  </si>
  <si>
    <t>Porcentajes, variables y cálculo del Coeficiente de Participación del Fondo de Fiscalización y Recaudación</t>
  </si>
  <si>
    <t xml:space="preserve">Recaudación Predial y Agua </t>
  </si>
  <si>
    <t>Esfuerzo Recaudatorio</t>
  </si>
  <si>
    <t>Resultado</t>
  </si>
  <si>
    <t xml:space="preserve">Coeficiente de </t>
  </si>
  <si>
    <t xml:space="preserve">Crecimiento </t>
  </si>
  <si>
    <t xml:space="preserve">Variación por </t>
  </si>
  <si>
    <t xml:space="preserve">Participación </t>
  </si>
  <si>
    <t xml:space="preserve">del FOFIR </t>
  </si>
  <si>
    <t>total de FOFIR</t>
  </si>
  <si>
    <t>2014($)</t>
  </si>
  <si>
    <t>Último Ejercicio</t>
  </si>
  <si>
    <t>Población</t>
  </si>
  <si>
    <t>entre mpios.($)</t>
  </si>
  <si>
    <t>(6 = 4*5)</t>
  </si>
  <si>
    <t>(7=(6/∑6)100)</t>
  </si>
  <si>
    <t>(8)</t>
  </si>
  <si>
    <t>(9=2+8)</t>
  </si>
  <si>
    <t>Cuadro No. 6</t>
  </si>
  <si>
    <t>Cálculo de los porcentajes de participación del Fondo de Compensación</t>
  </si>
  <si>
    <t>Componente del 70%</t>
  </si>
  <si>
    <t>Componente del 30%</t>
  </si>
  <si>
    <t xml:space="preserve">crecimiento </t>
  </si>
  <si>
    <t xml:space="preserve">Factor de </t>
  </si>
  <si>
    <t>Factor Inverso</t>
  </si>
  <si>
    <t>Porcentaje</t>
  </si>
  <si>
    <t xml:space="preserve">Coeficiente </t>
  </si>
  <si>
    <t>Efectivo de</t>
  </si>
  <si>
    <t>directo</t>
  </si>
  <si>
    <t>inverso</t>
  </si>
  <si>
    <t xml:space="preserve">efectivo </t>
  </si>
  <si>
    <t>Efectivo por población</t>
  </si>
  <si>
    <t>a la población</t>
  </si>
  <si>
    <t>Efectivo Inverso</t>
  </si>
  <si>
    <t>población</t>
  </si>
  <si>
    <t>de</t>
  </si>
  <si>
    <t>Foco</t>
  </si>
  <si>
    <t>Factor directo</t>
  </si>
  <si>
    <t>para 2016 (70%)</t>
  </si>
  <si>
    <t>a Población (30%)</t>
  </si>
  <si>
    <t>70%</t>
  </si>
  <si>
    <t>participaciones</t>
  </si>
  <si>
    <t>a participar</t>
  </si>
  <si>
    <t>(4= 1*.70)</t>
  </si>
  <si>
    <t>(3 = Inv de 1)</t>
  </si>
  <si>
    <t>(4=4/∑4)100</t>
  </si>
  <si>
    <t>(5= 4*.30)</t>
  </si>
  <si>
    <t>(6= 2+5)</t>
  </si>
  <si>
    <t>Cuadro No. 7</t>
  </si>
  <si>
    <t>Cálculo del Coeficiente de Participación del Impuesto Sobre Automóviles Nuevos y del Fondo de Compensación de ISAN</t>
  </si>
  <si>
    <t>Coeficiente 1</t>
  </si>
  <si>
    <t>Coeficiente 2</t>
  </si>
  <si>
    <t xml:space="preserve">Suma de </t>
  </si>
  <si>
    <t>Efectivo</t>
  </si>
  <si>
    <t>Esfuerzo</t>
  </si>
  <si>
    <t>resarcitorio</t>
  </si>
  <si>
    <t>Coeficientes</t>
  </si>
  <si>
    <t>para el 2016</t>
  </si>
  <si>
    <t xml:space="preserve">Relativa </t>
  </si>
  <si>
    <t>recaudatorio</t>
  </si>
  <si>
    <t>2=(1*.60)</t>
  </si>
  <si>
    <t>4=(3*.30)</t>
  </si>
  <si>
    <t>5=(2+4)</t>
  </si>
  <si>
    <t>6=(1/5)</t>
  </si>
  <si>
    <t>7=( 6/Σ6)</t>
  </si>
  <si>
    <t>8=(7*.10)</t>
  </si>
  <si>
    <t>9=(2+4+8)</t>
  </si>
  <si>
    <t>10</t>
  </si>
  <si>
    <t>ANEXO I</t>
  </si>
  <si>
    <t xml:space="preserve">INFORMACION UTILIZADA PARA LA DETERMINACION DE LOS PORCENTAJES DE DISTRIBUCIÓN </t>
  </si>
  <si>
    <t>DE PARTICIPACIONES</t>
  </si>
  <si>
    <t>Recaudación Predial y Agua ($)</t>
  </si>
  <si>
    <t>PREDIAL</t>
  </si>
  <si>
    <t>AGUA</t>
  </si>
  <si>
    <t>TOTAL</t>
  </si>
  <si>
    <t xml:space="preserve">ACAPONETA </t>
  </si>
  <si>
    <t>AHUACATLAN</t>
  </si>
  <si>
    <t>AMATLAN DE CAÑAS</t>
  </si>
  <si>
    <t>BAHÍA DE BANDERAS</t>
  </si>
  <si>
    <t>COMPOSTELA</t>
  </si>
  <si>
    <t>DEL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</si>
  <si>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</si>
  <si>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</si>
  <si>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</si>
  <si>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</si>
  <si>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</si>
  <si>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</si>
  <si>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</si>
  <si>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LAG.</t>
  </si>
  <si>
    <t>STA. MARIA DEL ORO</t>
  </si>
  <si>
    <t>SANTIAGO IXCUINTLA</t>
  </si>
  <si>
    <t>TECUALA</t>
  </si>
  <si>
    <t>TEPIC</t>
  </si>
  <si>
    <t>TUXPAN</t>
  </si>
  <si>
    <t>XALISCO</t>
  </si>
  <si>
    <t>Censo Nacional de Población y</t>
  </si>
  <si>
    <t>Vivienda 2010 de INEGI</t>
  </si>
  <si>
    <t>Población 2010</t>
  </si>
  <si>
    <t>CALENDARIO DE ENTREGA PARA EL EJERCICIO FISCAL 2016</t>
  </si>
  <si>
    <t>MES</t>
  </si>
  <si>
    <t>Fecha límite de entrega</t>
  </si>
  <si>
    <t xml:space="preserve">Enero </t>
  </si>
  <si>
    <t>Febrero</t>
  </si>
  <si>
    <t>08</t>
  </si>
  <si>
    <t>Marzo</t>
  </si>
  <si>
    <t>04</t>
  </si>
  <si>
    <t>Abril</t>
  </si>
  <si>
    <t>07</t>
  </si>
  <si>
    <t>Mayo</t>
  </si>
  <si>
    <t>09</t>
  </si>
  <si>
    <t>Junio</t>
  </si>
  <si>
    <t>03</t>
  </si>
  <si>
    <t>Julio</t>
  </si>
  <si>
    <t>Agosto</t>
  </si>
  <si>
    <t>05</t>
  </si>
  <si>
    <t>Septiembre</t>
  </si>
  <si>
    <t>Octubre</t>
  </si>
  <si>
    <t>Noviembre</t>
  </si>
  <si>
    <t>Diciembre</t>
  </si>
  <si>
    <t>Enero 2017</t>
  </si>
  <si>
    <t>06</t>
  </si>
  <si>
    <t>IMPUESTO ESPECIAL SOBRE PRODUCCIÓN Y SERVICIOS</t>
  </si>
  <si>
    <t>IEPS GASOLINA Y DIESEL</t>
  </si>
  <si>
    <t>FONDO DE FISCALIZACIÓN Y RECAUDACIÓN</t>
  </si>
  <si>
    <t>19</t>
  </si>
  <si>
    <t>17</t>
  </si>
  <si>
    <t>01</t>
  </si>
  <si>
    <t>15</t>
  </si>
  <si>
    <t>18</t>
  </si>
  <si>
    <t>31</t>
  </si>
  <si>
    <t>02</t>
  </si>
  <si>
    <t>30</t>
  </si>
  <si>
    <t>FONDO DE COMPENSACIÓN</t>
  </si>
  <si>
    <t>FONDO DE COMPENSACIÓN DEL IMPUESTO SOBRE AUTOMOVILES NUEVOS</t>
  </si>
  <si>
    <t>IMPUESTO SOBRE TENENCIA O USO DE VEHÍCULOS</t>
  </si>
  <si>
    <t>22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</si>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</sst>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0_ ;\-#,##0.00\ "/>
    <numFmt numFmtId="165" formatCode="#,##0_ ;\-#,##0\ "/>
    <numFmt numFmtId="166" formatCode="0.000000"/>
    <numFmt numFmtId="167" formatCode="#,##0.000000"/>
    <numFmt numFmtId="168" formatCode="#,##0.000000_ ;\-#,##0.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/>
    <xf numFmtId="167" fontId="3" fillId="0" borderId="11" xfId="0" applyNumberFormat="1" applyFont="1" applyBorder="1"/>
    <xf numFmtId="0" fontId="0" fillId="0" borderId="0" xfId="0" applyAlignment="1"/>
    <xf numFmtId="0" fontId="4" fillId="0" borderId="4" xfId="0" applyFont="1" applyBorder="1"/>
    <xf numFmtId="164" fontId="4" fillId="0" borderId="4" xfId="1" applyNumberFormat="1" applyFont="1" applyBorder="1" applyAlignment="1">
      <alignment horizontal="center"/>
    </xf>
    <xf numFmtId="3" fontId="4" fillId="0" borderId="4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49" fontId="4" fillId="0" borderId="12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/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Fill="1" applyBorder="1" applyAlignment="1"/>
    <xf numFmtId="0" fontId="4" fillId="0" borderId="0" xfId="0" applyFont="1" applyBorder="1" applyAlignment="1"/>
    <xf numFmtId="0" fontId="4" fillId="0" borderId="1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7" xfId="0" applyFont="1" applyFill="1" applyBorder="1"/>
    <xf numFmtId="167" fontId="3" fillId="0" borderId="0" xfId="0" applyNumberFormat="1" applyFont="1" applyBorder="1"/>
    <xf numFmtId="3" fontId="3" fillId="0" borderId="0" xfId="0" applyNumberFormat="1" applyFont="1" applyBorder="1"/>
    <xf numFmtId="3" fontId="3" fillId="0" borderId="9" xfId="0" applyNumberFormat="1" applyFont="1" applyBorder="1"/>
    <xf numFmtId="2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/>
    <xf numFmtId="3" fontId="3" fillId="3" borderId="9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3" fontId="3" fillId="0" borderId="11" xfId="0" applyNumberFormat="1" applyFont="1" applyBorder="1"/>
    <xf numFmtId="0" fontId="4" fillId="0" borderId="2" xfId="0" applyFont="1" applyBorder="1"/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/>
    <xf numFmtId="0" fontId="0" fillId="0" borderId="0" xfId="0" applyFill="1"/>
    <xf numFmtId="49" fontId="4" fillId="0" borderId="9" xfId="0" applyNumberFormat="1" applyFont="1" applyBorder="1" applyAlignment="1">
      <alignment horizontal="center"/>
    </xf>
    <xf numFmtId="0" fontId="3" fillId="0" borderId="16" xfId="0" applyFont="1" applyBorder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7" fillId="0" borderId="0" xfId="0" applyNumberFormat="1" applyFont="1" applyBorder="1"/>
    <xf numFmtId="167" fontId="4" fillId="0" borderId="0" xfId="0" applyNumberFormat="1" applyFont="1" applyBorder="1"/>
    <xf numFmtId="167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165" fontId="3" fillId="0" borderId="0" xfId="1" applyNumberFormat="1" applyFont="1" applyFill="1" applyBorder="1"/>
    <xf numFmtId="166" fontId="3" fillId="0" borderId="0" xfId="0" applyNumberFormat="1" applyFont="1" applyBorder="1"/>
    <xf numFmtId="3" fontId="3" fillId="3" borderId="4" xfId="0" applyNumberFormat="1" applyFont="1" applyFill="1" applyBorder="1"/>
    <xf numFmtId="3" fontId="4" fillId="3" borderId="4" xfId="0" applyNumberFormat="1" applyFont="1" applyFill="1" applyBorder="1"/>
    <xf numFmtId="0" fontId="0" fillId="3" borderId="0" xfId="0" applyFill="1"/>
    <xf numFmtId="3" fontId="9" fillId="0" borderId="4" xfId="0" applyNumberFormat="1" applyFont="1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6" xfId="0" applyBorder="1"/>
    <xf numFmtId="0" fontId="0" fillId="0" borderId="16" xfId="0" applyBorder="1"/>
    <xf numFmtId="49" fontId="0" fillId="0" borderId="13" xfId="0" applyNumberFormat="1" applyBorder="1"/>
    <xf numFmtId="0" fontId="0" fillId="0" borderId="13" xfId="0" applyBorder="1"/>
    <xf numFmtId="49" fontId="0" fillId="0" borderId="8" xfId="0" applyNumberFormat="1" applyBorder="1"/>
    <xf numFmtId="49" fontId="0" fillId="0" borderId="10" xfId="0" applyNumberFormat="1" applyBorder="1"/>
    <xf numFmtId="49" fontId="0" fillId="0" borderId="12" xfId="0" applyNumberFormat="1" applyBorder="1"/>
    <xf numFmtId="49" fontId="0" fillId="0" borderId="8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distributed" vertical="center"/>
    </xf>
    <xf numFmtId="0" fontId="10" fillId="0" borderId="4" xfId="0" applyFont="1" applyBorder="1"/>
    <xf numFmtId="2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5" fontId="10" fillId="2" borderId="4" xfId="1" applyNumberFormat="1" applyFont="1" applyFill="1" applyBorder="1"/>
    <xf numFmtId="166" fontId="10" fillId="0" borderId="4" xfId="0" applyNumberFormat="1" applyFont="1" applyBorder="1"/>
    <xf numFmtId="3" fontId="10" fillId="0" borderId="4" xfId="0" applyNumberFormat="1" applyFont="1" applyBorder="1"/>
    <xf numFmtId="167" fontId="10" fillId="0" borderId="4" xfId="0" applyNumberFormat="1" applyFont="1" applyBorder="1"/>
    <xf numFmtId="165" fontId="10" fillId="2" borderId="4" xfId="0" applyNumberFormat="1" applyFont="1" applyFill="1" applyBorder="1" applyAlignment="1">
      <alignment horizontal="right"/>
    </xf>
    <xf numFmtId="165" fontId="10" fillId="0" borderId="4" xfId="0" applyNumberFormat="1" applyFont="1" applyBorder="1"/>
    <xf numFmtId="167" fontId="10" fillId="0" borderId="11" xfId="0" applyNumberFormat="1" applyFont="1" applyBorder="1"/>
    <xf numFmtId="168" fontId="10" fillId="0" borderId="11" xfId="0" applyNumberFormat="1" applyFont="1" applyBorder="1"/>
    <xf numFmtId="3" fontId="10" fillId="0" borderId="11" xfId="0" applyNumberFormat="1" applyFont="1" applyBorder="1" applyAlignment="1"/>
    <xf numFmtId="167" fontId="10" fillId="0" borderId="11" xfId="0" applyNumberFormat="1" applyFont="1" applyBorder="1" applyAlignment="1"/>
    <xf numFmtId="0" fontId="10" fillId="0" borderId="0" xfId="0" applyFont="1" applyAlignment="1"/>
    <xf numFmtId="3" fontId="11" fillId="0" borderId="4" xfId="0" applyNumberFormat="1" applyFont="1" applyBorder="1" applyAlignment="1">
      <alignment horizontal="right" vertical="center" wrapText="1"/>
    </xf>
    <xf numFmtId="168" fontId="10" fillId="0" borderId="4" xfId="0" applyNumberFormat="1" applyFont="1" applyBorder="1"/>
    <xf numFmtId="3" fontId="10" fillId="0" borderId="4" xfId="0" applyNumberFormat="1" applyFont="1" applyBorder="1" applyAlignment="1"/>
    <xf numFmtId="167" fontId="10" fillId="0" borderId="4" xfId="0" applyNumberFormat="1" applyFont="1" applyBorder="1" applyAlignment="1"/>
    <xf numFmtId="0" fontId="5" fillId="0" borderId="4" xfId="0" applyFont="1" applyBorder="1"/>
    <xf numFmtId="164" fontId="5" fillId="0" borderId="4" xfId="1" applyNumberFormat="1" applyFont="1" applyBorder="1" applyAlignment="1">
      <alignment horizontal="center"/>
    </xf>
    <xf numFmtId="165" fontId="5" fillId="2" borderId="4" xfId="1" applyNumberFormat="1" applyFont="1" applyFill="1" applyBorder="1"/>
    <xf numFmtId="2" fontId="5" fillId="0" borderId="4" xfId="0" applyNumberFormat="1" applyFont="1" applyBorder="1"/>
    <xf numFmtId="3" fontId="5" fillId="0" borderId="4" xfId="0" applyNumberFormat="1" applyFont="1" applyBorder="1"/>
    <xf numFmtId="4" fontId="5" fillId="0" borderId="4" xfId="0" applyNumberFormat="1" applyFont="1" applyBorder="1"/>
    <xf numFmtId="165" fontId="5" fillId="2" borderId="4" xfId="0" applyNumberFormat="1" applyFont="1" applyFill="1" applyBorder="1" applyAlignment="1">
      <alignment horizontal="right"/>
    </xf>
    <xf numFmtId="4" fontId="10" fillId="0" borderId="4" xfId="0" applyNumberFormat="1" applyFont="1" applyBorder="1"/>
    <xf numFmtId="165" fontId="10" fillId="0" borderId="0" xfId="0" applyNumberFormat="1" applyFont="1"/>
    <xf numFmtId="0" fontId="10" fillId="0" borderId="0" xfId="0" applyFont="1" applyFill="1" applyBorder="1"/>
    <xf numFmtId="49" fontId="5" fillId="0" borderId="2" xfId="0" applyNumberFormat="1" applyFont="1" applyBorder="1" applyAlignment="1">
      <alignment horizontal="center"/>
    </xf>
    <xf numFmtId="166" fontId="10" fillId="0" borderId="0" xfId="0" applyNumberFormat="1" applyFont="1"/>
    <xf numFmtId="0" fontId="10" fillId="0" borderId="17" xfId="0" applyFont="1" applyBorder="1"/>
    <xf numFmtId="165" fontId="10" fillId="0" borderId="4" xfId="1" applyNumberFormat="1" applyFont="1" applyFill="1" applyBorder="1"/>
    <xf numFmtId="165" fontId="10" fillId="0" borderId="4" xfId="0" applyNumberFormat="1" applyFont="1" applyFill="1" applyBorder="1" applyAlignment="1">
      <alignment horizontal="right"/>
    </xf>
    <xf numFmtId="0" fontId="10" fillId="0" borderId="15" xfId="0" applyFont="1" applyBorder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0" fillId="0" borderId="7" xfId="0" applyFont="1" applyBorder="1"/>
    <xf numFmtId="49" fontId="5" fillId="0" borderId="0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9" fontId="5" fillId="0" borderId="9" xfId="0" applyNumberFormat="1" applyFont="1" applyFill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165" fontId="10" fillId="0" borderId="5" xfId="1" applyNumberFormat="1" applyFont="1" applyFill="1" applyBorder="1"/>
    <xf numFmtId="166" fontId="10" fillId="0" borderId="5" xfId="0" applyNumberFormat="1" applyFont="1" applyBorder="1"/>
    <xf numFmtId="3" fontId="10" fillId="0" borderId="5" xfId="0" applyNumberFormat="1" applyFont="1" applyBorder="1"/>
    <xf numFmtId="167" fontId="10" fillId="0" borderId="5" xfId="0" applyNumberFormat="1" applyFont="1" applyBorder="1"/>
    <xf numFmtId="165" fontId="10" fillId="0" borderId="5" xfId="0" applyNumberFormat="1" applyFont="1" applyFill="1" applyBorder="1" applyAlignment="1">
      <alignment horizontal="right"/>
    </xf>
    <xf numFmtId="165" fontId="10" fillId="0" borderId="5" xfId="0" applyNumberFormat="1" applyFont="1" applyBorder="1"/>
    <xf numFmtId="165" fontId="5" fillId="0" borderId="4" xfId="1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4" fontId="3" fillId="0" borderId="5" xfId="1" applyNumberFormat="1" applyFont="1" applyBorder="1" applyAlignment="1">
      <alignment horizontal="center"/>
    </xf>
    <xf numFmtId="3" fontId="3" fillId="0" borderId="5" xfId="0" applyNumberFormat="1" applyFont="1" applyBorder="1"/>
    <xf numFmtId="167" fontId="3" fillId="0" borderId="5" xfId="0" applyNumberFormat="1" applyFont="1" applyBorder="1"/>
    <xf numFmtId="164" fontId="3" fillId="0" borderId="9" xfId="1" applyNumberFormat="1" applyFont="1" applyBorder="1" applyAlignment="1">
      <alignment horizontal="center"/>
    </xf>
    <xf numFmtId="167" fontId="3" fillId="0" borderId="9" xfId="0" applyNumberFormat="1" applyFont="1" applyBorder="1"/>
    <xf numFmtId="164" fontId="3" fillId="0" borderId="11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/>
    </xf>
    <xf numFmtId="0" fontId="3" fillId="0" borderId="9" xfId="0" applyFont="1" applyBorder="1"/>
    <xf numFmtId="165" fontId="3" fillId="0" borderId="9" xfId="1" applyNumberFormat="1" applyFont="1" applyBorder="1"/>
    <xf numFmtId="3" fontId="3" fillId="0" borderId="9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0" fontId="4" fillId="0" borderId="11" xfId="0" applyFont="1" applyBorder="1"/>
    <xf numFmtId="164" fontId="4" fillId="0" borderId="11" xfId="1" applyNumberFormat="1" applyFont="1" applyBorder="1" applyAlignment="1">
      <alignment horizontal="center"/>
    </xf>
    <xf numFmtId="165" fontId="4" fillId="0" borderId="11" xfId="1" applyNumberFormat="1" applyFont="1" applyBorder="1"/>
    <xf numFmtId="3" fontId="4" fillId="0" borderId="11" xfId="0" applyNumberFormat="1" applyFont="1" applyBorder="1"/>
    <xf numFmtId="3" fontId="4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 applyAlignment="1">
      <alignment horizontal="right"/>
    </xf>
    <xf numFmtId="0" fontId="3" fillId="0" borderId="11" xfId="0" applyFont="1" applyBorder="1"/>
    <xf numFmtId="165" fontId="3" fillId="0" borderId="11" xfId="1" applyNumberFormat="1" applyFont="1" applyBorder="1"/>
    <xf numFmtId="3" fontId="3" fillId="0" borderId="11" xfId="0" applyNumberFormat="1" applyFont="1" applyFill="1" applyBorder="1" applyAlignment="1">
      <alignment horizontal="right"/>
    </xf>
    <xf numFmtId="167" fontId="3" fillId="0" borderId="9" xfId="0" applyNumberFormat="1" applyFont="1" applyBorder="1" applyAlignment="1">
      <alignment horizontal="right"/>
    </xf>
    <xf numFmtId="165" fontId="4" fillId="0" borderId="4" xfId="1" applyNumberFormat="1" applyFont="1" applyBorder="1"/>
    <xf numFmtId="3" fontId="4" fillId="0" borderId="11" xfId="0" applyNumberFormat="1" applyFont="1" applyBorder="1" applyAlignment="1">
      <alignment horizontal="right"/>
    </xf>
    <xf numFmtId="167" fontId="3" fillId="0" borderId="11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165" fontId="3" fillId="0" borderId="1" xfId="1" applyNumberFormat="1" applyFont="1" applyFill="1" applyBorder="1"/>
    <xf numFmtId="166" fontId="3" fillId="0" borderId="3" xfId="0" applyNumberFormat="1" applyFont="1" applyBorder="1"/>
    <xf numFmtId="164" fontId="3" fillId="0" borderId="5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3" fontId="3" fillId="0" borderId="9" xfId="0" applyNumberFormat="1" applyFont="1" applyFill="1" applyBorder="1"/>
    <xf numFmtId="3" fontId="3" fillId="0" borderId="9" xfId="0" applyNumberFormat="1" applyFont="1" applyFill="1" applyBorder="1" applyAlignment="1"/>
    <xf numFmtId="3" fontId="6" fillId="0" borderId="9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/>
    <xf numFmtId="0" fontId="10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10" fillId="0" borderId="9" xfId="0" applyFont="1" applyFill="1" applyBorder="1"/>
    <xf numFmtId="9" fontId="5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5" fontId="10" fillId="0" borderId="9" xfId="1" applyNumberFormat="1" applyFont="1" applyFill="1" applyBorder="1"/>
    <xf numFmtId="167" fontId="10" fillId="0" borderId="9" xfId="0" applyNumberFormat="1" applyFont="1" applyFill="1" applyBorder="1" applyAlignment="1">
      <alignment horizontal="right" vertical="center"/>
    </xf>
    <xf numFmtId="167" fontId="10" fillId="0" borderId="9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/>
    <xf numFmtId="3" fontId="10" fillId="0" borderId="9" xfId="0" applyNumberFormat="1" applyFont="1" applyFill="1" applyBorder="1"/>
    <xf numFmtId="167" fontId="10" fillId="0" borderId="0" xfId="0" applyNumberFormat="1" applyFont="1" applyFill="1" applyBorder="1"/>
    <xf numFmtId="167" fontId="10" fillId="0" borderId="0" xfId="0" applyNumberFormat="1" applyFont="1"/>
    <xf numFmtId="0" fontId="10" fillId="0" borderId="11" xfId="0" applyFont="1" applyFill="1" applyBorder="1"/>
    <xf numFmtId="164" fontId="10" fillId="0" borderId="11" xfId="1" applyNumberFormat="1" applyFont="1" applyFill="1" applyBorder="1" applyAlignment="1">
      <alignment horizontal="center"/>
    </xf>
    <xf numFmtId="165" fontId="10" fillId="0" borderId="11" xfId="1" applyNumberFormat="1" applyFont="1" applyFill="1" applyBorder="1"/>
    <xf numFmtId="167" fontId="10" fillId="0" borderId="11" xfId="0" applyNumberFormat="1" applyFont="1" applyFill="1" applyBorder="1" applyAlignment="1">
      <alignment horizontal="right" vertical="center"/>
    </xf>
    <xf numFmtId="167" fontId="10" fillId="0" borderId="11" xfId="0" applyNumberFormat="1" applyFont="1" applyFill="1" applyBorder="1" applyAlignment="1">
      <alignment horizontal="center" vertical="center"/>
    </xf>
    <xf numFmtId="167" fontId="10" fillId="0" borderId="11" xfId="0" applyNumberFormat="1" applyFont="1" applyFill="1" applyBorder="1"/>
    <xf numFmtId="3" fontId="10" fillId="0" borderId="11" xfId="0" applyNumberFormat="1" applyFont="1" applyFill="1" applyBorder="1"/>
    <xf numFmtId="167" fontId="5" fillId="0" borderId="0" xfId="0" applyNumberFormat="1" applyFont="1" applyFill="1" applyBorder="1"/>
    <xf numFmtId="0" fontId="10" fillId="0" borderId="0" xfId="0" applyFont="1" applyBorder="1"/>
    <xf numFmtId="0" fontId="10" fillId="0" borderId="9" xfId="0" applyFont="1" applyBorder="1"/>
    <xf numFmtId="166" fontId="10" fillId="0" borderId="9" xfId="0" applyNumberFormat="1" applyFont="1" applyBorder="1"/>
    <xf numFmtId="166" fontId="10" fillId="0" borderId="9" xfId="0" applyNumberFormat="1" applyFont="1" applyFill="1" applyBorder="1"/>
    <xf numFmtId="167" fontId="10" fillId="0" borderId="9" xfId="0" applyNumberFormat="1" applyFont="1" applyBorder="1"/>
    <xf numFmtId="165" fontId="10" fillId="0" borderId="9" xfId="1" applyNumberFormat="1" applyFont="1" applyBorder="1"/>
    <xf numFmtId="164" fontId="10" fillId="0" borderId="0" xfId="1" applyNumberFormat="1" applyFont="1" applyBorder="1"/>
    <xf numFmtId="4" fontId="10" fillId="0" borderId="0" xfId="0" applyNumberFormat="1" applyFont="1" applyBorder="1"/>
    <xf numFmtId="167" fontId="10" fillId="0" borderId="0" xfId="0" applyNumberFormat="1" applyFont="1" applyBorder="1"/>
    <xf numFmtId="3" fontId="10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44" fontId="5" fillId="0" borderId="0" xfId="0" applyNumberFormat="1" applyFont="1" applyFill="1" applyBorder="1" applyAlignment="1">
      <alignment horizontal="center"/>
    </xf>
    <xf numFmtId="2" fontId="10" fillId="0" borderId="0" xfId="0" applyNumberFormat="1" applyFont="1" applyBorder="1"/>
    <xf numFmtId="3" fontId="11" fillId="0" borderId="0" xfId="0" applyNumberFormat="1" applyFont="1" applyBorder="1" applyAlignment="1">
      <alignment horizontal="right" vertical="center" wrapText="1"/>
    </xf>
    <xf numFmtId="0" fontId="10" fillId="0" borderId="11" xfId="0" applyFont="1" applyBorder="1"/>
    <xf numFmtId="166" fontId="10" fillId="0" borderId="11" xfId="0" applyNumberFormat="1" applyFont="1" applyBorder="1"/>
    <xf numFmtId="166" fontId="10" fillId="0" borderId="11" xfId="0" applyNumberFormat="1" applyFont="1" applyFill="1" applyBorder="1"/>
    <xf numFmtId="165" fontId="10" fillId="0" borderId="11" xfId="1" applyNumberFormat="1" applyFont="1" applyBorder="1"/>
    <xf numFmtId="167" fontId="10" fillId="0" borderId="11" xfId="0" applyNumberFormat="1" applyFont="1" applyBorder="1" applyAlignment="1">
      <alignment horizontal="right"/>
    </xf>
    <xf numFmtId="44" fontId="10" fillId="0" borderId="2" xfId="1" applyFont="1" applyBorder="1"/>
    <xf numFmtId="167" fontId="5" fillId="0" borderId="0" xfId="0" applyNumberFormat="1" applyFont="1" applyBorder="1"/>
    <xf numFmtId="3" fontId="5" fillId="0" borderId="0" xfId="0" applyNumberFormat="1" applyFont="1" applyBorder="1"/>
    <xf numFmtId="4" fontId="10" fillId="0" borderId="0" xfId="0" applyNumberFormat="1" applyFont="1" applyAlignment="1"/>
    <xf numFmtId="44" fontId="10" fillId="0" borderId="0" xfId="0" applyNumberFormat="1" applyFont="1"/>
    <xf numFmtId="3" fontId="3" fillId="0" borderId="16" xfId="0" applyNumberFormat="1" applyFont="1" applyFill="1" applyBorder="1"/>
    <xf numFmtId="3" fontId="3" fillId="0" borderId="16" xfId="0" applyNumberFormat="1" applyFont="1" applyBorder="1"/>
    <xf numFmtId="3" fontId="3" fillId="0" borderId="5" xfId="0" applyNumberFormat="1" applyFont="1" applyFill="1" applyBorder="1"/>
    <xf numFmtId="3" fontId="3" fillId="0" borderId="11" xfId="0" applyNumberFormat="1" applyFont="1" applyFill="1" applyBorder="1"/>
    <xf numFmtId="3" fontId="4" fillId="0" borderId="4" xfId="0" applyNumberFormat="1" applyFont="1" applyFill="1" applyBorder="1"/>
    <xf numFmtId="3" fontId="4" fillId="0" borderId="1" xfId="0" applyNumberFormat="1" applyFont="1" applyBorder="1"/>
    <xf numFmtId="167" fontId="4" fillId="0" borderId="4" xfId="0" applyNumberFormat="1" applyFont="1" applyBorder="1"/>
    <xf numFmtId="167" fontId="10" fillId="0" borderId="11" xfId="0" applyNumberFormat="1" applyFont="1" applyFill="1" applyBorder="1" applyAlignment="1">
      <alignment horizontal="right"/>
    </xf>
    <xf numFmtId="167" fontId="5" fillId="0" borderId="4" xfId="0" applyNumberFormat="1" applyFont="1" applyBorder="1"/>
    <xf numFmtId="167" fontId="4" fillId="0" borderId="1" xfId="0" applyNumberFormat="1" applyFont="1" applyBorder="1"/>
    <xf numFmtId="167" fontId="4" fillId="0" borderId="11" xfId="0" applyNumberFormat="1" applyFont="1" applyBorder="1"/>
    <xf numFmtId="167" fontId="3" fillId="0" borderId="4" xfId="0" applyNumberFormat="1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distributed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justify" wrapText="1"/>
    </xf>
    <xf numFmtId="0" fontId="10" fillId="0" borderId="9" xfId="0" applyFont="1" applyBorder="1" applyAlignment="1">
      <alignment horizontal="center" vertical="justify" wrapText="1"/>
    </xf>
    <xf numFmtId="2" fontId="5" fillId="0" borderId="1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9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3" fontId="3" fillId="0" borderId="11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justify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0" fillId="0" borderId="2" xfId="0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distributed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PalmiraGonzalez\Descargas\CALCULO%20DEL%20COEFICIENTE%202016%20BU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 total"/>
      <sheetName val="FGP total"/>
      <sheetName val="FFM"/>
      <sheetName val="FOFIR"/>
      <sheetName val="FOCOmodificado"/>
      <sheetName val="IEPS TyA (2)"/>
      <sheetName val="IEPS GyD"/>
      <sheetName val="FGP 60%"/>
      <sheetName val="FGP 30%"/>
      <sheetName val="FGP 10%"/>
      <sheetName val="CENSO"/>
      <sheetName val="FOCO70 y 30"/>
      <sheetName val="IEPS TyA"/>
      <sheetName val="FOCO"/>
      <sheetName val="FFM factor 2014"/>
      <sheetName val="ISAN"/>
      <sheetName val="ISAN modificado"/>
      <sheetName val="ISAN  ok"/>
      <sheetName val="FOCO isan"/>
    </sheetNames>
    <sheetDataSet>
      <sheetData sheetId="0">
        <row r="13">
          <cell r="I13">
            <v>976528016.10000002</v>
          </cell>
        </row>
        <row r="18">
          <cell r="K18">
            <v>66851433.899999991</v>
          </cell>
        </row>
        <row r="23">
          <cell r="K23">
            <v>432473544</v>
          </cell>
        </row>
        <row r="24">
          <cell r="K24">
            <v>9565456</v>
          </cell>
        </row>
        <row r="34">
          <cell r="K34">
            <v>195909000</v>
          </cell>
        </row>
        <row r="35">
          <cell r="L35">
            <v>8053650</v>
          </cell>
        </row>
        <row r="40">
          <cell r="K40">
            <v>41270000</v>
          </cell>
          <cell r="L40">
            <v>9285750</v>
          </cell>
        </row>
        <row r="49">
          <cell r="K49">
            <v>91600000</v>
          </cell>
        </row>
        <row r="50">
          <cell r="K50">
            <v>10400000</v>
          </cell>
          <cell r="L50">
            <v>2340000</v>
          </cell>
        </row>
        <row r="54">
          <cell r="K54">
            <v>172770000</v>
          </cell>
        </row>
        <row r="55">
          <cell r="K55">
            <v>34150000</v>
          </cell>
        </row>
        <row r="58">
          <cell r="K58">
            <v>25191000</v>
          </cell>
        </row>
        <row r="74">
          <cell r="Q74">
            <v>10595876</v>
          </cell>
        </row>
        <row r="75">
          <cell r="Q75">
            <v>3514317</v>
          </cell>
        </row>
        <row r="76">
          <cell r="Q76">
            <v>3191771</v>
          </cell>
        </row>
        <row r="77">
          <cell r="Q77">
            <v>160191302</v>
          </cell>
        </row>
        <row r="78">
          <cell r="Q78">
            <v>35101187</v>
          </cell>
        </row>
        <row r="79">
          <cell r="Q79">
            <v>66546</v>
          </cell>
        </row>
        <row r="80">
          <cell r="Q80">
            <v>200502</v>
          </cell>
        </row>
        <row r="81">
          <cell r="Q81">
            <v>11189288</v>
          </cell>
        </row>
        <row r="82">
          <cell r="Q82">
            <v>2644098</v>
          </cell>
        </row>
        <row r="83">
          <cell r="Q83">
            <v>536720</v>
          </cell>
        </row>
        <row r="84">
          <cell r="Q84">
            <v>1677324</v>
          </cell>
        </row>
        <row r="85">
          <cell r="Q85">
            <v>1510227</v>
          </cell>
        </row>
        <row r="86">
          <cell r="Q86">
            <v>3494573</v>
          </cell>
        </row>
        <row r="87">
          <cell r="Q87">
            <v>1113213</v>
          </cell>
        </row>
        <row r="88">
          <cell r="Q88">
            <v>2194344</v>
          </cell>
        </row>
        <row r="89">
          <cell r="Q89">
            <v>14203629</v>
          </cell>
        </row>
        <row r="90">
          <cell r="Q90">
            <v>9399739</v>
          </cell>
        </row>
        <row r="91">
          <cell r="Q91">
            <v>175762046</v>
          </cell>
        </row>
        <row r="92">
          <cell r="Q92">
            <v>3206891</v>
          </cell>
        </row>
        <row r="93">
          <cell r="Q93">
            <v>24570163</v>
          </cell>
        </row>
      </sheetData>
      <sheetData sheetId="1">
        <row r="10">
          <cell r="H10">
            <v>2.0224538908126335</v>
          </cell>
          <cell r="L10">
            <v>1.6984913842383238</v>
          </cell>
        </row>
        <row r="11">
          <cell r="H11">
            <v>0.8421729821498849</v>
          </cell>
          <cell r="L11">
            <v>1.6246937020469494</v>
          </cell>
        </row>
        <row r="12">
          <cell r="H12">
            <v>0.61870321914064685</v>
          </cell>
          <cell r="L12">
            <v>1.5386186173323575</v>
          </cell>
        </row>
        <row r="13">
          <cell r="H13">
            <v>6.8686122035541706</v>
          </cell>
          <cell r="L13">
            <v>1.3463759848844303</v>
          </cell>
        </row>
        <row r="14">
          <cell r="H14">
            <v>3.8931076085343586</v>
          </cell>
          <cell r="L14">
            <v>1.3351717328331349</v>
          </cell>
        </row>
        <row r="15">
          <cell r="H15">
            <v>1.8968109060175355</v>
          </cell>
          <cell r="L15">
            <v>1.5029773963648771</v>
          </cell>
        </row>
        <row r="16">
          <cell r="H16">
            <v>0.63042694835568236</v>
          </cell>
          <cell r="L16">
            <v>2.4373814361615049</v>
          </cell>
        </row>
        <row r="17">
          <cell r="H17">
            <v>1.5082135230267129</v>
          </cell>
          <cell r="L17">
            <v>1.1079808680884844</v>
          </cell>
        </row>
        <row r="18">
          <cell r="H18">
            <v>0.9787101870174445</v>
          </cell>
          <cell r="L18">
            <v>1.5236379978687562</v>
          </cell>
        </row>
        <row r="19">
          <cell r="H19">
            <v>0.75208828926642823</v>
          </cell>
          <cell r="L19">
            <v>1.1892162545963691</v>
          </cell>
        </row>
        <row r="20">
          <cell r="H20">
            <v>1.90195386270149</v>
          </cell>
          <cell r="L20">
            <v>1.9205998644603943</v>
          </cell>
        </row>
        <row r="21">
          <cell r="H21">
            <v>1.2978500044701324</v>
          </cell>
          <cell r="L21">
            <v>1.0007499895607477</v>
          </cell>
        </row>
        <row r="22">
          <cell r="H22">
            <v>2.3845622818506165</v>
          </cell>
          <cell r="L22">
            <v>0.5560981576835401</v>
          </cell>
        </row>
        <row r="23">
          <cell r="H23">
            <v>0.415307577381682</v>
          </cell>
          <cell r="L23">
            <v>1.1146259841479544</v>
          </cell>
        </row>
        <row r="24">
          <cell r="H24">
            <v>1.2393972602234697</v>
          </cell>
          <cell r="L24">
            <v>1.5422308558489579</v>
          </cell>
        </row>
        <row r="25">
          <cell r="H25">
            <v>5.1470489290576129</v>
          </cell>
          <cell r="L25">
            <v>1.3216247862875781</v>
          </cell>
        </row>
        <row r="26">
          <cell r="H26">
            <v>2.1985310314761852</v>
          </cell>
          <cell r="L26">
            <v>3.2903831549323939</v>
          </cell>
        </row>
        <row r="27">
          <cell r="H27">
            <v>21.028001463622797</v>
          </cell>
          <cell r="L27">
            <v>1.1840637295200691</v>
          </cell>
        </row>
        <row r="28">
          <cell r="H28">
            <v>1.6606773034316793</v>
          </cell>
          <cell r="L28">
            <v>1.3617914757810983</v>
          </cell>
        </row>
        <row r="29">
          <cell r="H29">
            <v>2.7153705279088345</v>
          </cell>
          <cell r="L29">
            <v>1.4032866273620828</v>
          </cell>
        </row>
      </sheetData>
      <sheetData sheetId="2">
        <row r="11">
          <cell r="H11">
            <v>2.0224538908126335</v>
          </cell>
          <cell r="L11">
            <v>1.6984913842383238</v>
          </cell>
        </row>
        <row r="12">
          <cell r="H12">
            <v>0.8421729821498849</v>
          </cell>
          <cell r="L12">
            <v>1.6246937020469494</v>
          </cell>
        </row>
        <row r="13">
          <cell r="H13">
            <v>0.61870321914064685</v>
          </cell>
          <cell r="L13">
            <v>1.5386186173323575</v>
          </cell>
        </row>
        <row r="14">
          <cell r="H14">
            <v>6.8686122035541706</v>
          </cell>
          <cell r="L14">
            <v>1.3463759848844303</v>
          </cell>
        </row>
        <row r="15">
          <cell r="H15">
            <v>3.8931076085343586</v>
          </cell>
          <cell r="L15">
            <v>1.3351717328331349</v>
          </cell>
        </row>
        <row r="16">
          <cell r="H16">
            <v>1.8968109060175355</v>
          </cell>
          <cell r="L16">
            <v>1.5029773963648771</v>
          </cell>
        </row>
        <row r="17">
          <cell r="H17">
            <v>0.63042694835568236</v>
          </cell>
          <cell r="L17">
            <v>2.4373814361615049</v>
          </cell>
        </row>
        <row r="18">
          <cell r="H18">
            <v>1.5082135230267129</v>
          </cell>
          <cell r="L18">
            <v>1.1079808680884844</v>
          </cell>
        </row>
        <row r="19">
          <cell r="H19">
            <v>0.9787101870174445</v>
          </cell>
          <cell r="L19">
            <v>1.5236379978687562</v>
          </cell>
        </row>
        <row r="20">
          <cell r="H20">
            <v>0.75208828926642823</v>
          </cell>
          <cell r="L20">
            <v>1.1892162545963691</v>
          </cell>
        </row>
        <row r="21">
          <cell r="H21">
            <v>1.90195386270149</v>
          </cell>
          <cell r="L21">
            <v>1.9205998644603943</v>
          </cell>
        </row>
        <row r="22">
          <cell r="H22">
            <v>1.2978500044701324</v>
          </cell>
          <cell r="L22">
            <v>1.0007499895607477</v>
          </cell>
        </row>
        <row r="23">
          <cell r="H23">
            <v>2.3845622818506165</v>
          </cell>
          <cell r="L23">
            <v>0.5560981576835401</v>
          </cell>
        </row>
        <row r="24">
          <cell r="H24">
            <v>0.415307577381682</v>
          </cell>
          <cell r="L24">
            <v>1.1146259841479544</v>
          </cell>
        </row>
        <row r="25">
          <cell r="H25">
            <v>1.2393972602234697</v>
          </cell>
          <cell r="L25">
            <v>1.5422308558489579</v>
          </cell>
        </row>
        <row r="26">
          <cell r="H26">
            <v>5.1470489290576129</v>
          </cell>
          <cell r="L26">
            <v>1.3216247862875781</v>
          </cell>
        </row>
        <row r="27">
          <cell r="H27">
            <v>2.1985310314761852</v>
          </cell>
          <cell r="L27">
            <v>3.2903831549323939</v>
          </cell>
        </row>
        <row r="28">
          <cell r="H28">
            <v>21.028001463622797</v>
          </cell>
          <cell r="L28">
            <v>1.1840637295200691</v>
          </cell>
        </row>
        <row r="29">
          <cell r="H29">
            <v>1.6606773034316793</v>
          </cell>
          <cell r="L29">
            <v>1.3617914757810983</v>
          </cell>
        </row>
        <row r="30">
          <cell r="H30">
            <v>2.7153705279088345</v>
          </cell>
          <cell r="L30">
            <v>1.4032866273620828</v>
          </cell>
        </row>
      </sheetData>
      <sheetData sheetId="3">
        <row r="11">
          <cell r="D11">
            <v>3.62</v>
          </cell>
          <cell r="J11">
            <v>2.2818051286500491</v>
          </cell>
          <cell r="M11">
            <v>29.890314966066967</v>
          </cell>
        </row>
        <row r="12">
          <cell r="D12">
            <v>2.4700000000000002</v>
          </cell>
          <cell r="J12">
            <v>0.75680260455124748</v>
          </cell>
          <cell r="M12">
            <v>0</v>
          </cell>
        </row>
        <row r="13">
          <cell r="D13">
            <v>2.33</v>
          </cell>
          <cell r="J13">
            <v>0.68734283387956752</v>
          </cell>
          <cell r="M13">
            <v>0</v>
          </cell>
        </row>
        <row r="14">
          <cell r="D14">
            <v>2.81</v>
          </cell>
          <cell r="J14">
            <v>34.496943383324691</v>
          </cell>
          <cell r="M14">
            <v>0</v>
          </cell>
        </row>
        <row r="15">
          <cell r="D15">
            <v>4.6399999999999997</v>
          </cell>
          <cell r="J15">
            <v>7.5589850729004784</v>
          </cell>
          <cell r="M15">
            <v>0</v>
          </cell>
        </row>
        <row r="16">
          <cell r="D16">
            <v>1.5</v>
          </cell>
          <cell r="J16">
            <v>1.4330575791104591E-2</v>
          </cell>
          <cell r="M16">
            <v>9.1991047525760927E-2</v>
          </cell>
        </row>
        <row r="17">
          <cell r="D17">
            <v>1.53</v>
          </cell>
          <cell r="J17">
            <v>4.3177788406035721E-2</v>
          </cell>
          <cell r="M17">
            <v>0.15533301902423641</v>
          </cell>
        </row>
        <row r="18">
          <cell r="D18">
            <v>3.16</v>
          </cell>
          <cell r="J18">
            <v>2.4095954637768933</v>
          </cell>
          <cell r="M18">
            <v>0</v>
          </cell>
        </row>
        <row r="19">
          <cell r="D19">
            <v>2.81</v>
          </cell>
          <cell r="J19">
            <v>0.56940232002085878</v>
          </cell>
          <cell r="M19">
            <v>0</v>
          </cell>
        </row>
        <row r="20">
          <cell r="D20">
            <v>1.6</v>
          </cell>
          <cell r="J20">
            <v>0.11558180264180654</v>
          </cell>
          <cell r="M20">
            <v>0</v>
          </cell>
        </row>
        <row r="21">
          <cell r="D21">
            <v>2.84</v>
          </cell>
          <cell r="J21">
            <v>0.36120906903854055</v>
          </cell>
          <cell r="M21">
            <v>5.861681742680843</v>
          </cell>
        </row>
        <row r="22">
          <cell r="D22">
            <v>3.33</v>
          </cell>
          <cell r="J22">
            <v>0.32522499451916742</v>
          </cell>
          <cell r="M22">
            <v>0</v>
          </cell>
        </row>
        <row r="23">
          <cell r="D23">
            <v>4.6900000000000004</v>
          </cell>
          <cell r="J23">
            <v>0.75255076539608312</v>
          </cell>
          <cell r="M23">
            <v>0</v>
          </cell>
        </row>
        <row r="24">
          <cell r="D24">
            <v>2.13</v>
          </cell>
          <cell r="J24">
            <v>0.23972865789292996</v>
          </cell>
          <cell r="M24">
            <v>5.0570153958107262</v>
          </cell>
        </row>
        <row r="25">
          <cell r="D25">
            <v>2.81</v>
          </cell>
          <cell r="J25">
            <v>0.4725485078555528</v>
          </cell>
          <cell r="M25">
            <v>9.5561626304165532</v>
          </cell>
        </row>
        <row r="26">
          <cell r="D26">
            <v>8.34</v>
          </cell>
          <cell r="J26">
            <v>3.0587290279390369</v>
          </cell>
          <cell r="M26">
            <v>42.21943225899679</v>
          </cell>
        </row>
        <row r="27">
          <cell r="D27">
            <v>3.5</v>
          </cell>
          <cell r="J27">
            <v>2.0242189185841628</v>
          </cell>
          <cell r="M27">
            <v>0</v>
          </cell>
        </row>
        <row r="28">
          <cell r="D28">
            <v>39</v>
          </cell>
          <cell r="J28">
            <v>37.850078463057315</v>
          </cell>
          <cell r="M28">
            <v>0</v>
          </cell>
        </row>
        <row r="29">
          <cell r="D29">
            <v>3.79</v>
          </cell>
          <cell r="J29">
            <v>0.69059890195220142</v>
          </cell>
          <cell r="M29">
            <v>7.168068939478121</v>
          </cell>
        </row>
        <row r="30">
          <cell r="D30">
            <v>3.1</v>
          </cell>
          <cell r="J30">
            <v>5.2911457198222847</v>
          </cell>
          <cell r="M30">
            <v>0</v>
          </cell>
        </row>
        <row r="31">
          <cell r="H31">
            <v>3347909.5999999996</v>
          </cell>
          <cell r="K31">
            <v>3347909.6000000006</v>
          </cell>
          <cell r="M31">
            <v>99.999999999999986</v>
          </cell>
        </row>
      </sheetData>
      <sheetData sheetId="4">
        <row r="9">
          <cell r="C9">
            <v>3.65</v>
          </cell>
        </row>
        <row r="10">
          <cell r="C10">
            <v>1.49</v>
          </cell>
        </row>
        <row r="11">
          <cell r="C11">
            <v>1.0900000000000001</v>
          </cell>
        </row>
        <row r="12">
          <cell r="C12">
            <v>8.82</v>
          </cell>
        </row>
        <row r="13">
          <cell r="C13">
            <v>6.63</v>
          </cell>
        </row>
        <row r="14">
          <cell r="C14">
            <v>3.22</v>
          </cell>
        </row>
        <row r="15">
          <cell r="C15">
            <v>1.1100000000000001</v>
          </cell>
        </row>
        <row r="16">
          <cell r="C16">
            <v>2.71</v>
          </cell>
        </row>
        <row r="17">
          <cell r="C17">
            <v>1.69</v>
          </cell>
        </row>
        <row r="18">
          <cell r="C18">
            <v>1.27</v>
          </cell>
        </row>
        <row r="19">
          <cell r="C19">
            <v>3.39</v>
          </cell>
        </row>
        <row r="20">
          <cell r="C20">
            <v>2.21</v>
          </cell>
        </row>
        <row r="21">
          <cell r="C21">
            <v>3.95</v>
          </cell>
        </row>
        <row r="22">
          <cell r="C22">
            <v>0.75</v>
          </cell>
        </row>
        <row r="23">
          <cell r="C23">
            <v>2.2799999999999998</v>
          </cell>
        </row>
        <row r="24">
          <cell r="C24">
            <v>8.8800000000000008</v>
          </cell>
        </row>
        <row r="25">
          <cell r="C25">
            <v>3.92</v>
          </cell>
        </row>
        <row r="26">
          <cell r="C26">
            <v>35.42</v>
          </cell>
        </row>
        <row r="27">
          <cell r="C27">
            <v>3</v>
          </cell>
        </row>
        <row r="28">
          <cell r="C28">
            <v>4.5199999999999996</v>
          </cell>
        </row>
      </sheetData>
      <sheetData sheetId="5"/>
      <sheetData sheetId="6">
        <row r="10">
          <cell r="C10">
            <v>3.94</v>
          </cell>
          <cell r="E10">
            <v>0.05</v>
          </cell>
        </row>
        <row r="11">
          <cell r="C11">
            <v>5.78</v>
          </cell>
          <cell r="E11">
            <v>0.05</v>
          </cell>
        </row>
        <row r="12">
          <cell r="C12">
            <v>6.12</v>
          </cell>
          <cell r="E12">
            <v>0.05</v>
          </cell>
        </row>
        <row r="13">
          <cell r="C13">
            <v>5.08</v>
          </cell>
          <cell r="E13">
            <v>0.05</v>
          </cell>
        </row>
        <row r="14">
          <cell r="C14">
            <v>3.07</v>
          </cell>
          <cell r="E14">
            <v>0.05</v>
          </cell>
        </row>
        <row r="15">
          <cell r="C15">
            <v>9.51</v>
          </cell>
          <cell r="E15">
            <v>0.05</v>
          </cell>
        </row>
        <row r="16">
          <cell r="C16">
            <v>9.33</v>
          </cell>
          <cell r="E16">
            <v>0.05</v>
          </cell>
        </row>
        <row r="17">
          <cell r="C17">
            <v>4.5199999999999996</v>
          </cell>
          <cell r="E17">
            <v>0.05</v>
          </cell>
        </row>
        <row r="18">
          <cell r="C18">
            <v>5.08</v>
          </cell>
          <cell r="E18">
            <v>0.05</v>
          </cell>
        </row>
        <row r="19">
          <cell r="C19">
            <v>8.92</v>
          </cell>
          <cell r="E19">
            <v>0.05</v>
          </cell>
        </row>
        <row r="20">
          <cell r="C20">
            <v>5.0199999999999996</v>
          </cell>
          <cell r="E20">
            <v>0.05</v>
          </cell>
        </row>
        <row r="21">
          <cell r="C21">
            <v>4.29</v>
          </cell>
          <cell r="E21">
            <v>0.05</v>
          </cell>
        </row>
        <row r="22">
          <cell r="C22">
            <v>3.04</v>
          </cell>
          <cell r="E22">
            <v>0.05</v>
          </cell>
        </row>
        <row r="23">
          <cell r="C23">
            <v>6.7</v>
          </cell>
          <cell r="E23">
            <v>0.05</v>
          </cell>
        </row>
        <row r="24">
          <cell r="C24">
            <v>5.08</v>
          </cell>
          <cell r="E24">
            <v>0.05</v>
          </cell>
        </row>
        <row r="25">
          <cell r="C25">
            <v>1.7</v>
          </cell>
          <cell r="E25">
            <v>0.05</v>
          </cell>
        </row>
        <row r="26">
          <cell r="C26">
            <v>4.08</v>
          </cell>
          <cell r="E26">
            <v>0.05</v>
          </cell>
        </row>
        <row r="27">
          <cell r="C27">
            <v>0.37</v>
          </cell>
          <cell r="E27">
            <v>0.05</v>
          </cell>
        </row>
        <row r="28">
          <cell r="C28">
            <v>3.77</v>
          </cell>
          <cell r="E28">
            <v>0.05</v>
          </cell>
        </row>
        <row r="29">
          <cell r="C29">
            <v>4.5999999999999996</v>
          </cell>
          <cell r="E29">
            <v>0.05</v>
          </cell>
        </row>
        <row r="30">
          <cell r="C30">
            <v>100</v>
          </cell>
        </row>
      </sheetData>
      <sheetData sheetId="7">
        <row r="9">
          <cell r="C9">
            <v>3.65</v>
          </cell>
          <cell r="F9">
            <v>3.3707564846877225</v>
          </cell>
        </row>
        <row r="10">
          <cell r="C10">
            <v>1.49</v>
          </cell>
          <cell r="F10">
            <v>1.4036216369164749</v>
          </cell>
        </row>
        <row r="11">
          <cell r="C11">
            <v>1.0900000000000001</v>
          </cell>
          <cell r="F11">
            <v>1.0311720319010782</v>
          </cell>
        </row>
        <row r="12">
          <cell r="C12">
            <v>8.82</v>
          </cell>
          <cell r="F12">
            <v>11.447687005923617</v>
          </cell>
        </row>
        <row r="13">
          <cell r="C13">
            <v>6.63</v>
          </cell>
          <cell r="F13">
            <v>6.4885126808905982</v>
          </cell>
        </row>
        <row r="14">
          <cell r="C14">
            <v>3.22</v>
          </cell>
          <cell r="F14">
            <v>3.1613515100292262</v>
          </cell>
        </row>
        <row r="15">
          <cell r="C15">
            <v>1.1100000000000001</v>
          </cell>
          <cell r="F15">
            <v>1.050711580592804</v>
          </cell>
        </row>
        <row r="16">
          <cell r="C16">
            <v>2.71</v>
          </cell>
          <cell r="F16">
            <v>2.5136892050445216</v>
          </cell>
        </row>
        <row r="17">
          <cell r="C17">
            <v>1.69</v>
          </cell>
          <cell r="F17">
            <v>1.6311836450290742</v>
          </cell>
        </row>
        <row r="18">
          <cell r="C18">
            <v>1.27</v>
          </cell>
          <cell r="F18">
            <v>1.2534804821107137</v>
          </cell>
        </row>
        <row r="19">
          <cell r="C19">
            <v>3.39</v>
          </cell>
          <cell r="F19">
            <v>3.1699231045024834</v>
          </cell>
        </row>
        <row r="20">
          <cell r="C20">
            <v>2.21</v>
          </cell>
          <cell r="F20">
            <v>2.1630833407835541</v>
          </cell>
        </row>
        <row r="21">
          <cell r="C21">
            <v>3.95</v>
          </cell>
          <cell r="F21">
            <v>3.9742704697510276</v>
          </cell>
        </row>
        <row r="22">
          <cell r="C22">
            <v>0.75</v>
          </cell>
          <cell r="F22">
            <v>0.69217929563613667</v>
          </cell>
        </row>
        <row r="23">
          <cell r="C23">
            <v>2.2799999999999998</v>
          </cell>
          <cell r="F23">
            <v>2.0656621003724496</v>
          </cell>
        </row>
        <row r="24">
          <cell r="C24">
            <v>8.8800000000000008</v>
          </cell>
          <cell r="F24">
            <v>8.5784148817626882</v>
          </cell>
        </row>
        <row r="25">
          <cell r="C25">
            <v>3.92</v>
          </cell>
          <cell r="F25">
            <v>3.6642183857936419</v>
          </cell>
        </row>
        <row r="26">
          <cell r="C26">
            <v>35.42</v>
          </cell>
          <cell r="F26">
            <v>35.046669106037996</v>
          </cell>
        </row>
        <row r="27">
          <cell r="C27">
            <v>3</v>
          </cell>
          <cell r="F27">
            <v>2.7677955057194654</v>
          </cell>
        </row>
        <row r="28">
          <cell r="C28">
            <v>4.5199999999999996</v>
          </cell>
          <cell r="F28">
            <v>4.5256175465147246</v>
          </cell>
        </row>
      </sheetData>
      <sheetData sheetId="8"/>
      <sheetData sheetId="9">
        <row r="36">
          <cell r="I36">
            <v>3921861</v>
          </cell>
        </row>
        <row r="41">
          <cell r="I41">
            <v>12070</v>
          </cell>
        </row>
        <row r="42">
          <cell r="I42">
            <v>20381</v>
          </cell>
        </row>
        <row r="46">
          <cell r="I46">
            <v>769102</v>
          </cell>
        </row>
        <row r="49">
          <cell r="I49">
            <v>663523</v>
          </cell>
        </row>
        <row r="50">
          <cell r="I50">
            <v>1253849</v>
          </cell>
        </row>
        <row r="51">
          <cell r="I51">
            <v>5539545</v>
          </cell>
        </row>
        <row r="54">
          <cell r="I54">
            <v>940511</v>
          </cell>
        </row>
        <row r="56">
          <cell r="K56">
            <v>464363756</v>
          </cell>
        </row>
      </sheetData>
      <sheetData sheetId="10"/>
      <sheetData sheetId="11"/>
      <sheetData sheetId="12">
        <row r="10">
          <cell r="F10">
            <v>2.3595295392814055</v>
          </cell>
          <cell r="I10">
            <v>0.9615942271538076</v>
          </cell>
        </row>
        <row r="11">
          <cell r="F11">
            <v>0.98253514584153234</v>
          </cell>
          <cell r="I11">
            <v>2.3092405328957288</v>
          </cell>
        </row>
        <row r="12">
          <cell r="F12">
            <v>0.72182042233075472</v>
          </cell>
          <cell r="I12">
            <v>3.143316417185293</v>
          </cell>
        </row>
        <row r="13">
          <cell r="F13">
            <v>8.0133809041465316</v>
          </cell>
          <cell r="I13">
            <v>0.28314016404709191</v>
          </cell>
        </row>
        <row r="14">
          <cell r="F14">
            <v>4.5419588766234185</v>
          </cell>
          <cell r="I14">
            <v>0.49954436959998089</v>
          </cell>
        </row>
        <row r="15">
          <cell r="F15">
            <v>2.2129460570204582</v>
          </cell>
          <cell r="I15">
            <v>1.0252893316463283</v>
          </cell>
        </row>
        <row r="16">
          <cell r="F16">
            <v>0.73549810641496272</v>
          </cell>
          <cell r="I16">
            <v>3.0848617610060578</v>
          </cell>
        </row>
        <row r="17">
          <cell r="F17">
            <v>1.7595824435311651</v>
          </cell>
          <cell r="I17">
            <v>1.2894593215073167</v>
          </cell>
        </row>
        <row r="18">
          <cell r="F18">
            <v>1.1418285515203519</v>
          </cell>
          <cell r="I18">
            <v>1.9870846465967373</v>
          </cell>
        </row>
        <row r="19">
          <cell r="F19">
            <v>0.8774363374774995</v>
          </cell>
          <cell r="I19">
            <v>2.585840005549195</v>
          </cell>
        </row>
        <row r="20">
          <cell r="F20">
            <v>2.2189461731517381</v>
          </cell>
          <cell r="I20">
            <v>1.0225169097045637</v>
          </cell>
        </row>
        <row r="21">
          <cell r="F21">
            <v>1.5141583385484878</v>
          </cell>
          <cell r="I21">
            <v>1.498462826514511</v>
          </cell>
        </row>
        <row r="22">
          <cell r="F22">
            <v>2.7819893288257194</v>
          </cell>
          <cell r="I22">
            <v>0.81557105926412454</v>
          </cell>
        </row>
        <row r="23">
          <cell r="F23">
            <v>0.48452550694529561</v>
          </cell>
          <cell r="I23">
            <v>4.6827462151090629</v>
          </cell>
        </row>
        <row r="24">
          <cell r="F24">
            <v>1.4459634702607147</v>
          </cell>
          <cell r="I24">
            <v>1.569133681753929</v>
          </cell>
        </row>
        <row r="25">
          <cell r="F25">
            <v>6.0048904172338817</v>
          </cell>
          <cell r="I25">
            <v>0.37784369507562859</v>
          </cell>
        </row>
        <row r="26">
          <cell r="F26">
            <v>2.5649528700555493</v>
          </cell>
          <cell r="I26">
            <v>0.88458154933768618</v>
          </cell>
        </row>
        <row r="27">
          <cell r="F27">
            <v>24.532668374226596</v>
          </cell>
          <cell r="I27">
            <v>9.2485250652780307E-2</v>
          </cell>
        </row>
        <row r="28">
          <cell r="F28">
            <v>1.9374568540036257</v>
          </cell>
          <cell r="I28">
            <v>1.1710763927895123</v>
          </cell>
        </row>
        <row r="29">
          <cell r="F29">
            <v>3.1679322825603071</v>
          </cell>
          <cell r="I29">
            <v>0.71621164261066883</v>
          </cell>
        </row>
      </sheetData>
      <sheetData sheetId="13"/>
      <sheetData sheetId="14">
        <row r="9">
          <cell r="D9">
            <v>2891598.5475000003</v>
          </cell>
        </row>
        <row r="10">
          <cell r="D10">
            <v>1237088.0925</v>
          </cell>
        </row>
        <row r="11">
          <cell r="D11">
            <v>1001813.67</v>
          </cell>
        </row>
        <row r="12">
          <cell r="D12">
            <v>5798376.0899999999</v>
          </cell>
        </row>
        <row r="13">
          <cell r="D13">
            <v>4705488.45</v>
          </cell>
        </row>
        <row r="14">
          <cell r="D14">
            <v>5487206.6924999999</v>
          </cell>
        </row>
        <row r="15">
          <cell r="D15">
            <v>1517899.5</v>
          </cell>
        </row>
        <row r="16">
          <cell r="D16">
            <v>2026395.8324999998</v>
          </cell>
        </row>
        <row r="17">
          <cell r="D17">
            <v>1745584.425</v>
          </cell>
        </row>
        <row r="18">
          <cell r="D18">
            <v>1753173.9224999999</v>
          </cell>
        </row>
        <row r="19">
          <cell r="D19">
            <v>3832696.2375000003</v>
          </cell>
        </row>
        <row r="20">
          <cell r="D20">
            <v>1958090.3550000002</v>
          </cell>
        </row>
        <row r="21">
          <cell r="D21">
            <v>2572839.6525000003</v>
          </cell>
        </row>
        <row r="22">
          <cell r="D22">
            <v>622338.79499999993</v>
          </cell>
        </row>
        <row r="23">
          <cell r="D23">
            <v>1722815.9325000001</v>
          </cell>
        </row>
        <row r="24">
          <cell r="D24">
            <v>6519378.352500001</v>
          </cell>
        </row>
        <row r="25">
          <cell r="D25">
            <v>3453221.3625000003</v>
          </cell>
        </row>
        <row r="26">
          <cell r="D26">
            <v>22024721.745000001</v>
          </cell>
        </row>
        <row r="27">
          <cell r="D27">
            <v>2071932.8175000001</v>
          </cell>
        </row>
        <row r="28">
          <cell r="D28">
            <v>2952314.5275000008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2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18.5703125" style="82" customWidth="1"/>
    <col min="2" max="2" width="19.7109375" style="82" hidden="1" customWidth="1"/>
    <col min="3" max="3" width="15.85546875" style="82" hidden="1" customWidth="1"/>
    <col min="4" max="4" width="12.7109375" style="82" hidden="1" customWidth="1"/>
    <col min="5" max="7" width="14.85546875" style="82" hidden="1" customWidth="1"/>
    <col min="8" max="8" width="18.85546875" style="83" hidden="1" customWidth="1"/>
    <col min="9" max="9" width="18.5703125" style="82" hidden="1" customWidth="1"/>
    <col min="10" max="11" width="19.42578125" style="82" hidden="1" customWidth="1"/>
    <col min="12" max="12" width="18.42578125" style="82" hidden="1" customWidth="1"/>
    <col min="13" max="13" width="15.42578125" style="82" hidden="1" customWidth="1"/>
    <col min="14" max="16" width="14.42578125" style="82" hidden="1" customWidth="1"/>
    <col min="17" max="17" width="18.85546875" style="82" hidden="1" customWidth="1"/>
    <col min="18" max="18" width="19" style="82" hidden="1" customWidth="1"/>
    <col min="19" max="19" width="14.28515625" style="82" bestFit="1" customWidth="1"/>
    <col min="20" max="20" width="13.28515625" style="82" bestFit="1" customWidth="1"/>
    <col min="21" max="21" width="14.28515625" style="82" bestFit="1" customWidth="1"/>
    <col min="22" max="22" width="16.42578125" style="82" customWidth="1"/>
    <col min="23" max="23" width="11.140625" style="82" bestFit="1" customWidth="1"/>
    <col min="24" max="24" width="14.28515625" style="82" bestFit="1" customWidth="1"/>
    <col min="25" max="25" width="10.140625" style="82" bestFit="1" customWidth="1"/>
    <col min="26" max="26" width="14.28515625" style="82" bestFit="1" customWidth="1"/>
    <col min="27" max="27" width="11.140625" style="82" customWidth="1"/>
    <col min="28" max="28" width="14.28515625" style="82" bestFit="1" customWidth="1"/>
    <col min="29" max="29" width="10.140625" style="82" bestFit="1" customWidth="1"/>
    <col min="30" max="30" width="14.28515625" style="82" bestFit="1" customWidth="1"/>
    <col min="31" max="31" width="10.140625" style="82" bestFit="1" customWidth="1"/>
    <col min="32" max="32" width="13" style="82" customWidth="1"/>
    <col min="33" max="33" width="14.28515625" style="82" bestFit="1" customWidth="1"/>
    <col min="34" max="34" width="9.42578125" style="82" bestFit="1" customWidth="1"/>
    <col min="35" max="35" width="13.28515625" style="82" bestFit="1" customWidth="1"/>
    <col min="36" max="36" width="12.7109375" style="82" bestFit="1" customWidth="1"/>
    <col min="37" max="16384" width="11.42578125" style="82"/>
  </cols>
  <sheetData>
    <row r="2" spans="1:37" x14ac:dyDescent="0.2">
      <c r="T2" s="260"/>
      <c r="U2" s="260"/>
      <c r="V2" s="260"/>
    </row>
    <row r="3" spans="1:37" x14ac:dyDescent="0.2">
      <c r="A3" s="298" t="s">
        <v>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</row>
    <row r="4" spans="1:37" ht="36" customHeight="1" x14ac:dyDescent="0.2">
      <c r="A4" s="288" t="s">
        <v>1</v>
      </c>
      <c r="B4" s="260"/>
      <c r="C4" s="260"/>
      <c r="D4" s="260"/>
      <c r="E4" s="260"/>
      <c r="F4" s="260"/>
      <c r="G4" s="260"/>
      <c r="H4" s="260"/>
      <c r="I4" s="83"/>
      <c r="S4" s="286" t="s">
        <v>2</v>
      </c>
      <c r="T4" s="287"/>
      <c r="U4" s="282" t="s">
        <v>3</v>
      </c>
      <c r="V4" s="297"/>
      <c r="W4" s="283"/>
      <c r="X4" s="284" t="s">
        <v>4</v>
      </c>
      <c r="Y4" s="285"/>
      <c r="Z4" s="282" t="s">
        <v>5</v>
      </c>
      <c r="AA4" s="283"/>
      <c r="AB4" s="284" t="s">
        <v>6</v>
      </c>
      <c r="AC4" s="285"/>
      <c r="AD4" s="286" t="s">
        <v>7</v>
      </c>
      <c r="AE4" s="287"/>
      <c r="AF4" s="84" t="s">
        <v>8</v>
      </c>
      <c r="AG4" s="284" t="s">
        <v>9</v>
      </c>
      <c r="AH4" s="285"/>
      <c r="AI4" s="284" t="s">
        <v>10</v>
      </c>
      <c r="AJ4" s="285"/>
    </row>
    <row r="5" spans="1:37" ht="15.75" customHeight="1" x14ac:dyDescent="0.2">
      <c r="A5" s="289"/>
      <c r="B5" s="285" t="s">
        <v>11</v>
      </c>
      <c r="C5" s="85"/>
      <c r="D5" s="86"/>
      <c r="E5" s="300" t="s">
        <v>12</v>
      </c>
      <c r="F5" s="300"/>
      <c r="G5" s="300"/>
      <c r="H5" s="300"/>
      <c r="I5" s="296" t="s">
        <v>13</v>
      </c>
      <c r="J5" s="296"/>
      <c r="K5" s="296"/>
      <c r="L5" s="296"/>
      <c r="M5" s="296" t="s">
        <v>14</v>
      </c>
      <c r="N5" s="296" t="s">
        <v>15</v>
      </c>
      <c r="O5" s="296"/>
      <c r="P5" s="296"/>
      <c r="Q5" s="296"/>
      <c r="R5" s="284"/>
      <c r="S5" s="254"/>
      <c r="T5" s="288" t="s">
        <v>16</v>
      </c>
      <c r="U5" s="254"/>
      <c r="V5" s="302" t="s">
        <v>17</v>
      </c>
      <c r="W5" s="288" t="s">
        <v>16</v>
      </c>
      <c r="X5" s="254"/>
      <c r="Y5" s="288" t="s">
        <v>16</v>
      </c>
      <c r="Z5" s="261"/>
      <c r="AA5" s="288" t="s">
        <v>16</v>
      </c>
      <c r="AB5" s="87"/>
      <c r="AC5" s="288" t="s">
        <v>16</v>
      </c>
      <c r="AD5" s="88"/>
      <c r="AE5" s="294" t="s">
        <v>16</v>
      </c>
      <c r="AF5" s="294" t="s">
        <v>16</v>
      </c>
      <c r="AG5" s="88"/>
      <c r="AH5" s="294" t="s">
        <v>16</v>
      </c>
      <c r="AI5" s="305" t="s">
        <v>18</v>
      </c>
      <c r="AJ5" s="294" t="s">
        <v>16</v>
      </c>
    </row>
    <row r="6" spans="1:37" x14ac:dyDescent="0.2">
      <c r="A6" s="289"/>
      <c r="B6" s="299"/>
      <c r="C6" s="259" t="s">
        <v>19</v>
      </c>
      <c r="D6" s="293" t="s">
        <v>20</v>
      </c>
      <c r="E6" s="293"/>
      <c r="F6" s="259" t="s">
        <v>21</v>
      </c>
      <c r="G6" s="259" t="s">
        <v>22</v>
      </c>
      <c r="H6" s="89" t="s">
        <v>23</v>
      </c>
      <c r="I6" s="291" t="s">
        <v>24</v>
      </c>
      <c r="J6" s="296" t="s">
        <v>25</v>
      </c>
      <c r="K6" s="259" t="s">
        <v>22</v>
      </c>
      <c r="L6" s="296" t="s">
        <v>26</v>
      </c>
      <c r="M6" s="301"/>
      <c r="N6" s="291" t="s">
        <v>27</v>
      </c>
      <c r="O6" s="257"/>
      <c r="P6" s="257"/>
      <c r="Q6" s="259" t="s">
        <v>21</v>
      </c>
      <c r="R6" s="90" t="s">
        <v>28</v>
      </c>
      <c r="S6" s="91" t="s">
        <v>29</v>
      </c>
      <c r="T6" s="289"/>
      <c r="U6" s="91" t="s">
        <v>29</v>
      </c>
      <c r="V6" s="303"/>
      <c r="W6" s="289"/>
      <c r="X6" s="91" t="s">
        <v>29</v>
      </c>
      <c r="Y6" s="289"/>
      <c r="Z6" s="91" t="s">
        <v>29</v>
      </c>
      <c r="AA6" s="289"/>
      <c r="AB6" s="91" t="s">
        <v>29</v>
      </c>
      <c r="AC6" s="289"/>
      <c r="AD6" s="91" t="s">
        <v>29</v>
      </c>
      <c r="AE6" s="295"/>
      <c r="AF6" s="295"/>
      <c r="AG6" s="91" t="s">
        <v>29</v>
      </c>
      <c r="AH6" s="295"/>
      <c r="AI6" s="306"/>
      <c r="AJ6" s="295"/>
    </row>
    <row r="7" spans="1:37" x14ac:dyDescent="0.2">
      <c r="A7" s="289"/>
      <c r="B7" s="299"/>
      <c r="C7" s="259" t="s">
        <v>30</v>
      </c>
      <c r="D7" s="293">
        <v>2010</v>
      </c>
      <c r="E7" s="293"/>
      <c r="F7" s="259" t="s">
        <v>31</v>
      </c>
      <c r="G7" s="259" t="s">
        <v>32</v>
      </c>
      <c r="H7" s="89" t="s">
        <v>33</v>
      </c>
      <c r="I7" s="291"/>
      <c r="J7" s="296"/>
      <c r="K7" s="259" t="s">
        <v>32</v>
      </c>
      <c r="L7" s="296"/>
      <c r="M7" s="301"/>
      <c r="N7" s="292"/>
      <c r="O7" s="258"/>
      <c r="P7" s="258"/>
      <c r="Q7" s="259" t="s">
        <v>34</v>
      </c>
      <c r="R7" s="90" t="s">
        <v>35</v>
      </c>
      <c r="S7" s="91" t="s">
        <v>36</v>
      </c>
      <c r="T7" s="289"/>
      <c r="U7" s="91" t="s">
        <v>36</v>
      </c>
      <c r="V7" s="303"/>
      <c r="W7" s="289"/>
      <c r="X7" s="91" t="s">
        <v>36</v>
      </c>
      <c r="Y7" s="289"/>
      <c r="Z7" s="91" t="s">
        <v>36</v>
      </c>
      <c r="AA7" s="289"/>
      <c r="AB7" s="91" t="s">
        <v>36</v>
      </c>
      <c r="AC7" s="289"/>
      <c r="AD7" s="91" t="s">
        <v>36</v>
      </c>
      <c r="AE7" s="295"/>
      <c r="AF7" s="295"/>
      <c r="AG7" s="91" t="s">
        <v>36</v>
      </c>
      <c r="AH7" s="295"/>
      <c r="AI7" s="306"/>
      <c r="AJ7" s="295"/>
    </row>
    <row r="8" spans="1:37" ht="21" customHeight="1" x14ac:dyDescent="0.2">
      <c r="A8" s="290"/>
      <c r="B8" s="126">
        <v>2014</v>
      </c>
      <c r="C8" s="92" t="s">
        <v>37</v>
      </c>
      <c r="D8" s="259" t="s">
        <v>38</v>
      </c>
      <c r="E8" s="259" t="s">
        <v>39</v>
      </c>
      <c r="F8" s="259" t="s">
        <v>40</v>
      </c>
      <c r="G8" s="93">
        <v>0.6</v>
      </c>
      <c r="H8" s="94">
        <v>0.6</v>
      </c>
      <c r="I8" s="259" t="s">
        <v>41</v>
      </c>
      <c r="J8" s="259"/>
      <c r="K8" s="93">
        <v>0.3</v>
      </c>
      <c r="L8" s="259" t="s">
        <v>42</v>
      </c>
      <c r="M8" s="301"/>
      <c r="N8" s="292"/>
      <c r="O8" s="258"/>
      <c r="P8" s="258"/>
      <c r="Q8" s="259" t="s">
        <v>43</v>
      </c>
      <c r="R8" s="90" t="s">
        <v>44</v>
      </c>
      <c r="S8" s="95"/>
      <c r="T8" s="96" t="s">
        <v>45</v>
      </c>
      <c r="U8" s="95"/>
      <c r="V8" s="304"/>
      <c r="W8" s="95" t="s">
        <v>45</v>
      </c>
      <c r="X8" s="95"/>
      <c r="Y8" s="95" t="s">
        <v>45</v>
      </c>
      <c r="Z8" s="97"/>
      <c r="AA8" s="95" t="s">
        <v>45</v>
      </c>
      <c r="AB8" s="98"/>
      <c r="AC8" s="95" t="s">
        <v>45</v>
      </c>
      <c r="AD8" s="99"/>
      <c r="AE8" s="99" t="s">
        <v>45</v>
      </c>
      <c r="AF8" s="99" t="s">
        <v>45</v>
      </c>
      <c r="AG8" s="99"/>
      <c r="AH8" s="99" t="s">
        <v>45</v>
      </c>
      <c r="AI8" s="307"/>
      <c r="AJ8" s="99" t="s">
        <v>45</v>
      </c>
    </row>
    <row r="9" spans="1:37" x14ac:dyDescent="0.2">
      <c r="A9" s="85" t="s">
        <v>46</v>
      </c>
      <c r="B9" s="100">
        <v>3.62</v>
      </c>
      <c r="C9" s="101">
        <f>[1]Datos!I$13*B9%</f>
        <v>35350314.182820007</v>
      </c>
      <c r="D9" s="102">
        <f>E9/E$29*100</f>
        <v>3.3707564846877225</v>
      </c>
      <c r="E9" s="103">
        <v>36572</v>
      </c>
      <c r="F9" s="104">
        <f>D9</f>
        <v>3.3707564846877225</v>
      </c>
      <c r="G9" s="104">
        <f>F9*0.6</f>
        <v>2.0224538908126335</v>
      </c>
      <c r="H9" s="105">
        <f>[1]Datos!$K$18*'[1] total'!H10/100</f>
        <v>1352039.4259745858</v>
      </c>
      <c r="I9" s="102">
        <v>1.210777</v>
      </c>
      <c r="J9" s="102">
        <f>I9/$I$29*100</f>
        <v>5.6616379474610792</v>
      </c>
      <c r="K9" s="102">
        <f>J9*0.3</f>
        <v>1.6984913842383238</v>
      </c>
      <c r="L9" s="103">
        <f>[1]Datos!$K$18*'[1] total'!L10/100</f>
        <v>1135465.8450312777</v>
      </c>
      <c r="M9" s="106">
        <f>H9+L9</f>
        <v>2487505.2710058633</v>
      </c>
      <c r="N9" s="102">
        <f>K9+G9</f>
        <v>3.7209452750509575</v>
      </c>
      <c r="O9" s="102">
        <f>1/N9</f>
        <v>0.26874891353684455</v>
      </c>
      <c r="P9" s="102">
        <f>O9/$O$29*100</f>
        <v>4.2169783378374488</v>
      </c>
      <c r="Q9" s="102">
        <f>P9*0.1</f>
        <v>0.42169783378374492</v>
      </c>
      <c r="R9" s="103">
        <f>Q9*[1]Datos!$K$18/100</f>
        <v>281911.04860967206</v>
      </c>
      <c r="S9" s="107">
        <v>4.1426428425699751</v>
      </c>
      <c r="T9" s="106">
        <f>C9+H9+L9+R9</f>
        <v>38119730.502435543</v>
      </c>
      <c r="U9" s="108">
        <v>2.826280806668886</v>
      </c>
      <c r="V9" s="108">
        <v>29.890314966066967</v>
      </c>
      <c r="W9" s="109">
        <v>16702528.42</v>
      </c>
      <c r="X9" s="110">
        <v>0.41515617189387743</v>
      </c>
      <c r="Y9" s="109">
        <v>1642337.8875377313</v>
      </c>
      <c r="Z9" s="110">
        <v>3.3211228328151736</v>
      </c>
      <c r="AA9" s="109">
        <v>3199989.7755815261</v>
      </c>
      <c r="AB9" s="110">
        <v>0.05</v>
      </c>
      <c r="AC9" s="109">
        <v>929034</v>
      </c>
      <c r="AD9" s="110">
        <v>3.3707564846877225</v>
      </c>
      <c r="AE9" s="109">
        <v>1677874.1263921929</v>
      </c>
      <c r="AF9" s="109">
        <v>1261.75</v>
      </c>
      <c r="AG9" s="110">
        <v>4.3120859640471902</v>
      </c>
      <c r="AH9" s="109">
        <v>244407.95442070373</v>
      </c>
      <c r="AI9" s="110">
        <f>AJ9/$AJ$29*100</f>
        <v>3.6816110301203073</v>
      </c>
      <c r="AJ9" s="109">
        <f>T9+W9+Y9+AA9+AC9+AE9+AF9+AH9</f>
        <v>62517164.416367695</v>
      </c>
      <c r="AK9" s="111"/>
    </row>
    <row r="10" spans="1:37" x14ac:dyDescent="0.2">
      <c r="A10" s="85" t="s">
        <v>47</v>
      </c>
      <c r="B10" s="100">
        <v>2.4700000000000002</v>
      </c>
      <c r="C10" s="101">
        <f>[1]Datos!I$13*B10%</f>
        <v>24120241.997670002</v>
      </c>
      <c r="D10" s="102">
        <f t="shared" ref="D10:D28" si="0">E10/E$29*100</f>
        <v>1.4036216369164749</v>
      </c>
      <c r="E10" s="112">
        <v>15229</v>
      </c>
      <c r="F10" s="104">
        <f t="shared" ref="F10:F29" si="1">D10</f>
        <v>1.4036216369164749</v>
      </c>
      <c r="G10" s="104">
        <f t="shared" ref="G10:G28" si="2">F10*0.6</f>
        <v>0.8421729821498849</v>
      </c>
      <c r="H10" s="105">
        <f>[1]Datos!$K$18*'[1] total'!H11/100</f>
        <v>563004.71448558907</v>
      </c>
      <c r="I10" s="102">
        <v>1.1581699999999999</v>
      </c>
      <c r="J10" s="102">
        <f t="shared" ref="J10:J28" si="3">I10/$I$29*100</f>
        <v>5.4156456734898315</v>
      </c>
      <c r="K10" s="102">
        <f t="shared" ref="K10:K28" si="4">J10*0.3</f>
        <v>1.6246937020469494</v>
      </c>
      <c r="L10" s="103">
        <f>[1]Datos!$K$18*'[1] total'!L11/100</f>
        <v>1086131.0363013791</v>
      </c>
      <c r="M10" s="106">
        <f t="shared" ref="M10:M29" si="5">H10+L10</f>
        <v>1649135.750786968</v>
      </c>
      <c r="N10" s="102">
        <f t="shared" ref="N10:N28" si="6">K10+G10</f>
        <v>2.4668666841968343</v>
      </c>
      <c r="O10" s="102">
        <f t="shared" ref="O10:O28" si="7">1/N10</f>
        <v>0.40537253448115756</v>
      </c>
      <c r="P10" s="102">
        <f t="shared" ref="P10:P28" si="8">O10/$O$29*100</f>
        <v>6.3607594693659895</v>
      </c>
      <c r="Q10" s="102">
        <f t="shared" ref="Q10:Q28" si="9">P10*0.1</f>
        <v>0.63607594693659897</v>
      </c>
      <c r="R10" s="103">
        <f>Q10*[1]Datos!$K$18/100</f>
        <v>425225.89122011943</v>
      </c>
      <c r="S10" s="104">
        <v>3.1029425423405455</v>
      </c>
      <c r="T10" s="106">
        <f t="shared" ref="T10:T28" si="10">C10+H10+L10+R10</f>
        <v>26194603.639677089</v>
      </c>
      <c r="U10" s="113">
        <v>1.0802121207338611</v>
      </c>
      <c r="V10" s="113"/>
      <c r="W10" s="114">
        <v>10754425.587380826</v>
      </c>
      <c r="X10" s="115">
        <v>5.733743230577474E-2</v>
      </c>
      <c r="Y10" s="114">
        <v>661402.67861689406</v>
      </c>
      <c r="Z10" s="115">
        <v>3.2917767950366903</v>
      </c>
      <c r="AA10" s="114">
        <v>1542754.1125684148</v>
      </c>
      <c r="AB10" s="115">
        <v>0.05</v>
      </c>
      <c r="AC10" s="114">
        <v>1308258</v>
      </c>
      <c r="AD10" s="115">
        <v>1.4036216369164749</v>
      </c>
      <c r="AE10" s="114">
        <v>687062.20252656972</v>
      </c>
      <c r="AF10" s="114">
        <v>1897.88</v>
      </c>
      <c r="AG10" s="115">
        <v>2.9635888129088657</v>
      </c>
      <c r="AH10" s="114">
        <v>167975.47301847127</v>
      </c>
      <c r="AI10" s="110">
        <f t="shared" ref="AI10:AI28" si="11">AJ10/$AJ$29*100</f>
        <v>2.4332229941275179</v>
      </c>
      <c r="AJ10" s="109">
        <f t="shared" ref="AJ10:AJ28" si="12">T10+W10+Y10+AA10+AC10+AE10+AF10+AH10</f>
        <v>41318379.573788278</v>
      </c>
      <c r="AK10" s="111"/>
    </row>
    <row r="11" spans="1:37" x14ac:dyDescent="0.2">
      <c r="A11" s="85" t="s">
        <v>48</v>
      </c>
      <c r="B11" s="100">
        <v>2.33</v>
      </c>
      <c r="C11" s="101">
        <f>[1]Datos!I$13*B11%</f>
        <v>22753102.77513</v>
      </c>
      <c r="D11" s="102">
        <f t="shared" si="0"/>
        <v>1.0311720319010782</v>
      </c>
      <c r="E11" s="103">
        <v>11188</v>
      </c>
      <c r="F11" s="104">
        <f t="shared" si="1"/>
        <v>1.0311720319010782</v>
      </c>
      <c r="G11" s="104">
        <f t="shared" si="2"/>
        <v>0.61870321914064685</v>
      </c>
      <c r="H11" s="105">
        <f>[1]Datos!$K$18*'[1] total'!H12/100</f>
        <v>413611.97358098166</v>
      </c>
      <c r="I11" s="102">
        <v>1.096811</v>
      </c>
      <c r="J11" s="102">
        <f t="shared" si="3"/>
        <v>5.1287287244411921</v>
      </c>
      <c r="K11" s="102">
        <f t="shared" si="4"/>
        <v>1.5386186173323575</v>
      </c>
      <c r="L11" s="103">
        <f>[1]Datos!$K$18*'[1] total'!L12/100</f>
        <v>1028588.6079390348</v>
      </c>
      <c r="M11" s="106">
        <f t="shared" si="5"/>
        <v>1442200.5815200165</v>
      </c>
      <c r="N11" s="102">
        <f t="shared" si="6"/>
        <v>2.1573218364730042</v>
      </c>
      <c r="O11" s="102">
        <f t="shared" si="7"/>
        <v>0.46353769896238362</v>
      </c>
      <c r="P11" s="102">
        <f t="shared" si="8"/>
        <v>7.2734375353201246</v>
      </c>
      <c r="Q11" s="102">
        <f t="shared" si="9"/>
        <v>0.72734375353201253</v>
      </c>
      <c r="R11" s="103">
        <f>Q11*[1]Datos!$K$18/100</f>
        <v>486239.72861823224</v>
      </c>
      <c r="S11" s="104">
        <v>2.8846652337860608</v>
      </c>
      <c r="T11" s="106">
        <f t="shared" si="10"/>
        <v>24681543.085268248</v>
      </c>
      <c r="U11" s="113">
        <v>0.85925743289032286</v>
      </c>
      <c r="V11" s="113"/>
      <c r="W11" s="114">
        <v>10134167.899368899</v>
      </c>
      <c r="X11" s="115">
        <v>3.8256928787623323E-2</v>
      </c>
      <c r="Y11" s="114">
        <v>483547.90164530446</v>
      </c>
      <c r="Z11" s="115">
        <v>3.8651361319945288</v>
      </c>
      <c r="AA11" s="114">
        <v>1360720.6099345717</v>
      </c>
      <c r="AB11" s="115">
        <v>0.05</v>
      </c>
      <c r="AC11" s="114">
        <v>1378332</v>
      </c>
      <c r="AD11" s="115">
        <v>1.0311720319010782</v>
      </c>
      <c r="AE11" s="114">
        <v>502951.10600119911</v>
      </c>
      <c r="AF11" s="114">
        <v>0</v>
      </c>
      <c r="AG11" s="115">
        <v>2.6503186172934994</v>
      </c>
      <c r="AH11" s="114">
        <v>150219.39664854124</v>
      </c>
      <c r="AI11" s="110">
        <f t="shared" si="11"/>
        <v>2.2785260372659346</v>
      </c>
      <c r="AJ11" s="109">
        <f t="shared" si="12"/>
        <v>38691481.998866759</v>
      </c>
      <c r="AK11" s="111"/>
    </row>
    <row r="12" spans="1:37" x14ac:dyDescent="0.2">
      <c r="A12" s="85" t="s">
        <v>49</v>
      </c>
      <c r="B12" s="100">
        <v>2.81</v>
      </c>
      <c r="C12" s="101">
        <f>[1]Datos!I$13*B12%</f>
        <v>27440437.252410002</v>
      </c>
      <c r="D12" s="102">
        <f t="shared" si="0"/>
        <v>11.447687005923617</v>
      </c>
      <c r="E12" s="103">
        <v>124205</v>
      </c>
      <c r="F12" s="104">
        <f t="shared" si="1"/>
        <v>11.447687005923617</v>
      </c>
      <c r="G12" s="104">
        <f t="shared" si="2"/>
        <v>6.8686122035541706</v>
      </c>
      <c r="H12" s="105">
        <f>[1]Datos!$K$18*'[1] total'!H13/100</f>
        <v>4591765.7471063491</v>
      </c>
      <c r="I12" s="102">
        <v>0.95977000000000001</v>
      </c>
      <c r="J12" s="102">
        <f t="shared" si="3"/>
        <v>4.4879199496147679</v>
      </c>
      <c r="K12" s="102">
        <f t="shared" si="4"/>
        <v>1.3463759848844303</v>
      </c>
      <c r="L12" s="103">
        <f>[1]Datos!$K$18*'[1] total'!L13/100</f>
        <v>900071.65158048877</v>
      </c>
      <c r="M12" s="106">
        <f t="shared" si="5"/>
        <v>5491837.3986868374</v>
      </c>
      <c r="N12" s="102">
        <f t="shared" si="6"/>
        <v>8.2149881884386016</v>
      </c>
      <c r="O12" s="102">
        <f t="shared" si="7"/>
        <v>0.12172872036594699</v>
      </c>
      <c r="P12" s="102">
        <f t="shared" si="8"/>
        <v>1.9100630775405734</v>
      </c>
      <c r="Q12" s="102">
        <f t="shared" si="9"/>
        <v>0.19100630775405736</v>
      </c>
      <c r="R12" s="103">
        <f>Q12*[1]Datos!$K$18/100</f>
        <v>127690.45557303421</v>
      </c>
      <c r="S12" s="104">
        <v>8.4059946875968592</v>
      </c>
      <c r="T12" s="106">
        <f t="shared" si="10"/>
        <v>33059965.106669877</v>
      </c>
      <c r="U12" s="113">
        <v>22.972315194624155</v>
      </c>
      <c r="V12" s="113"/>
      <c r="W12" s="114">
        <v>13690691.277886162</v>
      </c>
      <c r="X12" s="115">
        <v>21.31591259590553</v>
      </c>
      <c r="Y12" s="114">
        <v>5604523.099780146</v>
      </c>
      <c r="Z12" s="115">
        <v>8.2965214431423444</v>
      </c>
      <c r="AA12" s="114">
        <v>6568770.2937187711</v>
      </c>
      <c r="AB12" s="115">
        <v>0.05</v>
      </c>
      <c r="AC12" s="114">
        <v>1163988</v>
      </c>
      <c r="AD12" s="115">
        <v>11.447687005923617</v>
      </c>
      <c r="AE12" s="114">
        <v>4308232.3003176562</v>
      </c>
      <c r="AF12" s="114">
        <v>14377.280000000002</v>
      </c>
      <c r="AG12" s="115">
        <v>8.4853834221306368</v>
      </c>
      <c r="AH12" s="114">
        <v>480949.41102050891</v>
      </c>
      <c r="AI12" s="110">
        <f t="shared" si="11"/>
        <v>3.8214345211835288</v>
      </c>
      <c r="AJ12" s="109">
        <f t="shared" si="12"/>
        <v>64891496.769393124</v>
      </c>
      <c r="AK12" s="111"/>
    </row>
    <row r="13" spans="1:37" x14ac:dyDescent="0.2">
      <c r="A13" s="85" t="s">
        <v>50</v>
      </c>
      <c r="B13" s="100">
        <v>4.6399999999999997</v>
      </c>
      <c r="C13" s="101">
        <f>[1]Datos!I$13*B13%</f>
        <v>45310899.947039999</v>
      </c>
      <c r="D13" s="102">
        <f t="shared" si="0"/>
        <v>6.4885126808905982</v>
      </c>
      <c r="E13" s="103">
        <v>70399</v>
      </c>
      <c r="F13" s="104">
        <f t="shared" si="1"/>
        <v>6.4885126808905982</v>
      </c>
      <c r="G13" s="104">
        <f t="shared" si="2"/>
        <v>3.8931076085343586</v>
      </c>
      <c r="H13" s="105">
        <f>[1]Datos!$K$18*'[1] total'!H14/100</f>
        <v>2602598.259575217</v>
      </c>
      <c r="I13" s="102">
        <v>0.95178300000000005</v>
      </c>
      <c r="J13" s="102">
        <f t="shared" si="3"/>
        <v>4.4505724427771165</v>
      </c>
      <c r="K13" s="102">
        <f t="shared" si="4"/>
        <v>1.3351717328331349</v>
      </c>
      <c r="L13" s="103">
        <f>[1]Datos!$K$18*'[1] total'!L14/100</f>
        <v>892581.44842642767</v>
      </c>
      <c r="M13" s="106">
        <f t="shared" si="5"/>
        <v>3495179.7080016448</v>
      </c>
      <c r="N13" s="102">
        <f t="shared" si="6"/>
        <v>5.2282793413674931</v>
      </c>
      <c r="O13" s="102">
        <f t="shared" si="7"/>
        <v>0.19126751550701249</v>
      </c>
      <c r="P13" s="102">
        <f t="shared" si="8"/>
        <v>3.001206438419636</v>
      </c>
      <c r="Q13" s="102">
        <f t="shared" si="9"/>
        <v>0.30012064384196363</v>
      </c>
      <c r="R13" s="103">
        <f>Q13*[1]Datos!$K$18/100</f>
        <v>200634.95383826472</v>
      </c>
      <c r="S13" s="104">
        <v>5.5283996980355887</v>
      </c>
      <c r="T13" s="106">
        <f t="shared" si="10"/>
        <v>49006714.608879909</v>
      </c>
      <c r="U13" s="113">
        <v>7.0237488768955387</v>
      </c>
      <c r="V13" s="113"/>
      <c r="W13" s="114">
        <v>20537069.967458956</v>
      </c>
      <c r="X13" s="115">
        <v>2.6473673814400143</v>
      </c>
      <c r="Y13" s="114">
        <v>3135682.2106153434</v>
      </c>
      <c r="Z13" s="115">
        <v>5.0415048244849441</v>
      </c>
      <c r="AA13" s="114">
        <v>5173629.8543834928</v>
      </c>
      <c r="AB13" s="115">
        <v>0.05</v>
      </c>
      <c r="AC13" s="114">
        <v>749727</v>
      </c>
      <c r="AD13" s="115">
        <v>6.4885126808905982</v>
      </c>
      <c r="AE13" s="114">
        <v>3075857.5681179315</v>
      </c>
      <c r="AF13" s="114">
        <v>6630.1299999999992</v>
      </c>
      <c r="AG13" s="115">
        <v>5.6291300435357714</v>
      </c>
      <c r="AH13" s="114">
        <v>319057.68358509662</v>
      </c>
      <c r="AI13" s="110">
        <f t="shared" si="11"/>
        <v>4.8292047845061861</v>
      </c>
      <c r="AJ13" s="109">
        <f t="shared" si="12"/>
        <v>82004369.023040712</v>
      </c>
      <c r="AK13" s="111"/>
    </row>
    <row r="14" spans="1:37" x14ac:dyDescent="0.2">
      <c r="A14" s="85" t="s">
        <v>51</v>
      </c>
      <c r="B14" s="100">
        <v>1.5</v>
      </c>
      <c r="C14" s="101">
        <f>[1]Datos!I$13*B14%</f>
        <v>14647920.2415</v>
      </c>
      <c r="D14" s="102">
        <f t="shared" si="0"/>
        <v>3.1613515100292262</v>
      </c>
      <c r="E14" s="103">
        <v>34300</v>
      </c>
      <c r="F14" s="104">
        <f t="shared" si="1"/>
        <v>3.1613515100292262</v>
      </c>
      <c r="G14" s="104">
        <f t="shared" si="2"/>
        <v>1.8968109060175355</v>
      </c>
      <c r="H14" s="105">
        <f>[1]Datos!$K$18*'[1] total'!H15/100</f>
        <v>1268045.2890443038</v>
      </c>
      <c r="I14" s="102">
        <v>1.071404</v>
      </c>
      <c r="J14" s="102">
        <f t="shared" si="3"/>
        <v>5.0099246545495904</v>
      </c>
      <c r="K14" s="102">
        <f t="shared" si="4"/>
        <v>1.5029773963648771</v>
      </c>
      <c r="L14" s="103">
        <f>[1]Datos!$K$18*'[1] total'!L15/100</f>
        <v>1004761.9406628067</v>
      </c>
      <c r="M14" s="106">
        <f t="shared" si="5"/>
        <v>2272807.2297071107</v>
      </c>
      <c r="N14" s="102">
        <f t="shared" si="6"/>
        <v>3.3997883023824125</v>
      </c>
      <c r="O14" s="102">
        <f t="shared" si="7"/>
        <v>0.29413596114182955</v>
      </c>
      <c r="P14" s="102">
        <f t="shared" si="8"/>
        <v>4.6153301986988051</v>
      </c>
      <c r="Q14" s="102">
        <f t="shared" si="9"/>
        <v>0.46153301986988055</v>
      </c>
      <c r="R14" s="103">
        <f>Q14*[1]Datos!$K$18/100</f>
        <v>308541.44170498702</v>
      </c>
      <c r="S14" s="104">
        <v>3.8613219171885285</v>
      </c>
      <c r="T14" s="106">
        <f t="shared" si="10"/>
        <v>17229268.912912097</v>
      </c>
      <c r="U14" s="113">
        <v>1.5878410429101655</v>
      </c>
      <c r="V14" s="113">
        <v>9.1991047525760927E-2</v>
      </c>
      <c r="W14" s="114">
        <v>6596061.9343691636</v>
      </c>
      <c r="X14" s="115">
        <v>2.4453554512228865E-3</v>
      </c>
      <c r="Y14" s="114">
        <v>1419557.6453692976</v>
      </c>
      <c r="Z14" s="115">
        <v>3.2382341410824989</v>
      </c>
      <c r="AA14" s="114">
        <v>5787901.1485759784</v>
      </c>
      <c r="AB14" s="115">
        <v>0.05</v>
      </c>
      <c r="AC14" s="114">
        <v>2077011</v>
      </c>
      <c r="AD14" s="115">
        <v>3.1613515100292262</v>
      </c>
      <c r="AE14" s="114">
        <v>1494628.9966518709</v>
      </c>
      <c r="AF14" s="114">
        <v>0</v>
      </c>
      <c r="AG14" s="115">
        <v>3.8142417695725817</v>
      </c>
      <c r="AH14" s="114">
        <v>216190.26993893154</v>
      </c>
      <c r="AI14" s="110">
        <f t="shared" si="11"/>
        <v>2.0505725031681692</v>
      </c>
      <c r="AJ14" s="109">
        <f t="shared" si="12"/>
        <v>34820619.907817341</v>
      </c>
      <c r="AK14" s="111"/>
    </row>
    <row r="15" spans="1:37" x14ac:dyDescent="0.2">
      <c r="A15" s="85" t="s">
        <v>52</v>
      </c>
      <c r="B15" s="100">
        <v>1.53</v>
      </c>
      <c r="C15" s="101">
        <f>[1]Datos!I$13*B15%</f>
        <v>14940878.646330001</v>
      </c>
      <c r="D15" s="102">
        <f t="shared" si="0"/>
        <v>1.050711580592804</v>
      </c>
      <c r="E15" s="103">
        <v>11400</v>
      </c>
      <c r="F15" s="104">
        <f t="shared" si="1"/>
        <v>1.050711580592804</v>
      </c>
      <c r="G15" s="104">
        <f t="shared" si="2"/>
        <v>0.63042694835568236</v>
      </c>
      <c r="H15" s="105">
        <f>[1]Datos!$K$18*'[1] total'!H16/100</f>
        <v>421449.45466778608</v>
      </c>
      <c r="I15" s="102">
        <v>1.737498</v>
      </c>
      <c r="J15" s="102">
        <f t="shared" si="3"/>
        <v>8.1246047872050173</v>
      </c>
      <c r="K15" s="102">
        <f t="shared" si="4"/>
        <v>2.4373814361615049</v>
      </c>
      <c r="L15" s="103">
        <f>[1]Datos!$K$18*'[1] total'!L16/100</f>
        <v>1629424.4396863789</v>
      </c>
      <c r="M15" s="106">
        <f t="shared" si="5"/>
        <v>2050873.8943541651</v>
      </c>
      <c r="N15" s="102">
        <f t="shared" si="6"/>
        <v>3.0678083845171873</v>
      </c>
      <c r="O15" s="102">
        <f t="shared" si="7"/>
        <v>0.32596559975742434</v>
      </c>
      <c r="P15" s="102">
        <f t="shared" si="8"/>
        <v>5.1147736932852705</v>
      </c>
      <c r="Q15" s="102">
        <f t="shared" si="9"/>
        <v>0.51147736932852705</v>
      </c>
      <c r="R15" s="103">
        <f>Q15*[1]Datos!$K$18/100</f>
        <v>341929.95547011914</v>
      </c>
      <c r="S15" s="104">
        <v>3.5792860244249689</v>
      </c>
      <c r="T15" s="106">
        <f t="shared" si="10"/>
        <v>17333682.496154286</v>
      </c>
      <c r="U15" s="113">
        <v>0.54694468449941991</v>
      </c>
      <c r="V15" s="113">
        <v>0.15533301902423641</v>
      </c>
      <c r="W15" s="114">
        <v>6657925.1438745633</v>
      </c>
      <c r="X15" s="115">
        <v>2.448778371489907E-3</v>
      </c>
      <c r="Y15" s="114">
        <v>489479.94353931549</v>
      </c>
      <c r="Z15" s="115">
        <v>3.8203602079983923</v>
      </c>
      <c r="AA15" s="114">
        <v>1872648.4684181919</v>
      </c>
      <c r="AB15" s="115">
        <v>0.05</v>
      </c>
      <c r="AC15" s="114">
        <v>2039913</v>
      </c>
      <c r="AD15" s="115">
        <v>1.050711580592804</v>
      </c>
      <c r="AE15" s="114">
        <v>512227.12607379956</v>
      </c>
      <c r="AF15" s="114">
        <v>0</v>
      </c>
      <c r="AG15" s="115">
        <v>2.6617039508769591</v>
      </c>
      <c r="AH15" s="114">
        <v>150864.71450971832</v>
      </c>
      <c r="AI15" s="110">
        <f t="shared" si="11"/>
        <v>1.7111399528131128</v>
      </c>
      <c r="AJ15" s="109">
        <f t="shared" si="12"/>
        <v>29056740.892569873</v>
      </c>
      <c r="AK15" s="111"/>
    </row>
    <row r="16" spans="1:37" x14ac:dyDescent="0.2">
      <c r="A16" s="85" t="s">
        <v>53</v>
      </c>
      <c r="B16" s="100">
        <v>3.16</v>
      </c>
      <c r="C16" s="101">
        <f>[1]Datos!I$13*B16%</f>
        <v>30858285.308760002</v>
      </c>
      <c r="D16" s="102">
        <f t="shared" si="0"/>
        <v>2.5136892050445216</v>
      </c>
      <c r="E16" s="103">
        <v>27273</v>
      </c>
      <c r="F16" s="104">
        <f t="shared" si="1"/>
        <v>2.5136892050445216</v>
      </c>
      <c r="G16" s="104">
        <f t="shared" si="2"/>
        <v>1.5082135230267129</v>
      </c>
      <c r="H16" s="105">
        <f>[1]Datos!$K$18*'[1] total'!H17/100</f>
        <v>1008262.3664170641</v>
      </c>
      <c r="I16" s="102">
        <v>0.789829</v>
      </c>
      <c r="J16" s="102">
        <f t="shared" si="3"/>
        <v>3.6932695602949481</v>
      </c>
      <c r="K16" s="102">
        <f t="shared" si="4"/>
        <v>1.1079808680884844</v>
      </c>
      <c r="L16" s="103">
        <f>[1]Datos!$K$18*'[1] total'!L17/100</f>
        <v>740701.09765481914</v>
      </c>
      <c r="M16" s="106">
        <f t="shared" si="5"/>
        <v>1748963.4640718834</v>
      </c>
      <c r="N16" s="102">
        <f t="shared" si="6"/>
        <v>2.6161943911151972</v>
      </c>
      <c r="O16" s="102">
        <f t="shared" si="7"/>
        <v>0.38223459365102186</v>
      </c>
      <c r="P16" s="102">
        <f t="shared" si="8"/>
        <v>5.9976986704263497</v>
      </c>
      <c r="Q16" s="102">
        <f t="shared" si="9"/>
        <v>0.59976986704263502</v>
      </c>
      <c r="R16" s="103">
        <f>Q16*[1]Datos!$K$18/100</f>
        <v>400954.756218125</v>
      </c>
      <c r="S16" s="104">
        <v>3.2159638357632265</v>
      </c>
      <c r="T16" s="106">
        <f t="shared" si="10"/>
        <v>33008203.529050011</v>
      </c>
      <c r="U16" s="113">
        <v>2.4616423344107075</v>
      </c>
      <c r="V16" s="113"/>
      <c r="W16" s="114">
        <v>13830991.110462802</v>
      </c>
      <c r="X16" s="115">
        <v>0.32693490114496859</v>
      </c>
      <c r="Y16" s="114">
        <v>1220885.3201660616</v>
      </c>
      <c r="Z16" s="115">
        <v>3.0490429777298536</v>
      </c>
      <c r="AA16" s="114">
        <v>2309522.2200838616</v>
      </c>
      <c r="AB16" s="115">
        <v>0.05</v>
      </c>
      <c r="AC16" s="114">
        <v>1048571.9999999999</v>
      </c>
      <c r="AD16" s="115">
        <v>2.5136892050445216</v>
      </c>
      <c r="AE16" s="114">
        <v>1246610.6692926083</v>
      </c>
      <c r="AF16" s="114">
        <v>498.23</v>
      </c>
      <c r="AG16" s="115">
        <v>4.1722078346790559</v>
      </c>
      <c r="AH16" s="114">
        <v>236479.69701765021</v>
      </c>
      <c r="AI16" s="110">
        <f t="shared" si="11"/>
        <v>3.1153638391540177</v>
      </c>
      <c r="AJ16" s="109">
        <f t="shared" si="12"/>
        <v>52901762.776072986</v>
      </c>
      <c r="AK16" s="111"/>
    </row>
    <row r="17" spans="1:37" x14ac:dyDescent="0.2">
      <c r="A17" s="85" t="s">
        <v>54</v>
      </c>
      <c r="B17" s="100">
        <v>2.81</v>
      </c>
      <c r="C17" s="101">
        <f>[1]Datos!I$13*B17%</f>
        <v>27440437.252410002</v>
      </c>
      <c r="D17" s="102">
        <f t="shared" si="0"/>
        <v>1.6311836450290742</v>
      </c>
      <c r="E17" s="103">
        <v>17698</v>
      </c>
      <c r="F17" s="104">
        <f t="shared" si="1"/>
        <v>1.6311836450290742</v>
      </c>
      <c r="G17" s="104">
        <f t="shared" si="2"/>
        <v>0.9787101870174445</v>
      </c>
      <c r="H17" s="105">
        <f>[1]Datos!$K$18*'[1] total'!H18/100</f>
        <v>654281.79374653322</v>
      </c>
      <c r="I17" s="102">
        <v>1.0861320000000001</v>
      </c>
      <c r="J17" s="102">
        <f t="shared" si="3"/>
        <v>5.0787933262291878</v>
      </c>
      <c r="K17" s="102">
        <f t="shared" si="4"/>
        <v>1.5236379978687562</v>
      </c>
      <c r="L17" s="103">
        <f>[1]Datos!$K$18*'[1] total'!L18/100</f>
        <v>1018573.8490205148</v>
      </c>
      <c r="M17" s="106">
        <f t="shared" si="5"/>
        <v>1672855.642767048</v>
      </c>
      <c r="N17" s="102">
        <f t="shared" si="6"/>
        <v>2.5023481848862006</v>
      </c>
      <c r="O17" s="102">
        <f t="shared" si="7"/>
        <v>0.3996246429812792</v>
      </c>
      <c r="P17" s="102">
        <f t="shared" si="8"/>
        <v>6.2705684668267221</v>
      </c>
      <c r="Q17" s="102">
        <f t="shared" si="9"/>
        <v>0.62705684668267225</v>
      </c>
      <c r="R17" s="103">
        <f>Q17*[1]Datos!$K$18/100</f>
        <v>419196.49337549089</v>
      </c>
      <c r="S17" s="104">
        <v>3.1294051343209612</v>
      </c>
      <c r="T17" s="106">
        <f t="shared" si="10"/>
        <v>29532489.388552543</v>
      </c>
      <c r="U17" s="113">
        <v>1.1002929825249665</v>
      </c>
      <c r="V17" s="113"/>
      <c r="W17" s="114">
        <v>12226180.21518016</v>
      </c>
      <c r="X17" s="115">
        <v>5.0133457689032122E-2</v>
      </c>
      <c r="Y17" s="114">
        <v>748981.54571517266</v>
      </c>
      <c r="Z17" s="115">
        <v>3.1289141310297164</v>
      </c>
      <c r="AA17" s="114">
        <v>2036127.4581987557</v>
      </c>
      <c r="AB17" s="115">
        <v>0.05</v>
      </c>
      <c r="AC17" s="114">
        <v>1163988</v>
      </c>
      <c r="AD17" s="115">
        <v>1.6311836450290742</v>
      </c>
      <c r="AE17" s="114">
        <v>782293.99832492147</v>
      </c>
      <c r="AF17" s="114">
        <v>4654.2900000000009</v>
      </c>
      <c r="AG17" s="115">
        <v>3.30990400739466</v>
      </c>
      <c r="AH17" s="114">
        <v>187604.53166312751</v>
      </c>
      <c r="AI17" s="110">
        <f t="shared" si="11"/>
        <v>2.7491032858071041</v>
      </c>
      <c r="AJ17" s="109">
        <f t="shared" si="12"/>
        <v>46682319.427634686</v>
      </c>
      <c r="AK17" s="111"/>
    </row>
    <row r="18" spans="1:37" x14ac:dyDescent="0.2">
      <c r="A18" s="85" t="s">
        <v>55</v>
      </c>
      <c r="B18" s="100">
        <v>1.6</v>
      </c>
      <c r="C18" s="101">
        <f>[1]Datos!I$13*B18%</f>
        <v>15624448.2576</v>
      </c>
      <c r="D18" s="102">
        <f t="shared" si="0"/>
        <v>1.2534804821107137</v>
      </c>
      <c r="E18" s="103">
        <v>13600</v>
      </c>
      <c r="F18" s="104">
        <f t="shared" si="1"/>
        <v>1.2534804821107137</v>
      </c>
      <c r="G18" s="104">
        <f t="shared" si="2"/>
        <v>0.75208828926642823</v>
      </c>
      <c r="H18" s="105">
        <f>[1]Datos!$K$18*'[1] total'!H19/100</f>
        <v>502781.80556858703</v>
      </c>
      <c r="I18" s="102">
        <v>0.84773799999999999</v>
      </c>
      <c r="J18" s="102">
        <f t="shared" si="3"/>
        <v>3.9640541819878972</v>
      </c>
      <c r="K18" s="102">
        <f t="shared" si="4"/>
        <v>1.1892162545963691</v>
      </c>
      <c r="L18" s="103">
        <f>[1]Datos!$K$18*'[1] total'!L19/100</f>
        <v>795008.1183695473</v>
      </c>
      <c r="M18" s="106">
        <f t="shared" si="5"/>
        <v>1297789.9239381342</v>
      </c>
      <c r="N18" s="102">
        <f t="shared" si="6"/>
        <v>1.9413045438627974</v>
      </c>
      <c r="O18" s="102">
        <f t="shared" si="7"/>
        <v>0.51511752916943432</v>
      </c>
      <c r="P18" s="102">
        <f t="shared" si="8"/>
        <v>8.0827841622141037</v>
      </c>
      <c r="Q18" s="102">
        <f t="shared" si="9"/>
        <v>0.80827841622141039</v>
      </c>
      <c r="R18" s="103">
        <f>Q18*[1]Datos!$K$18/100</f>
        <v>540345.71114822302</v>
      </c>
      <c r="S18" s="104">
        <v>2.7495831328897933</v>
      </c>
      <c r="T18" s="106">
        <f t="shared" si="10"/>
        <v>17462583.89268636</v>
      </c>
      <c r="U18" s="113">
        <v>0.68453114237626012</v>
      </c>
      <c r="V18" s="113"/>
      <c r="W18" s="114">
        <v>6965411.6716612093</v>
      </c>
      <c r="X18" s="115">
        <v>7.8201054190063894E-3</v>
      </c>
      <c r="Y18" s="114">
        <v>560439.77142007789</v>
      </c>
      <c r="Z18" s="115">
        <v>3.4632775818342609</v>
      </c>
      <c r="AA18" s="114">
        <v>2074765.1574086989</v>
      </c>
      <c r="AB18" s="115">
        <v>0.05</v>
      </c>
      <c r="AC18" s="114">
        <v>1955412</v>
      </c>
      <c r="AD18" s="115">
        <v>1.2534804821107137</v>
      </c>
      <c r="AE18" s="114">
        <v>590004.58154418203</v>
      </c>
      <c r="AF18" s="114">
        <v>204.57</v>
      </c>
      <c r="AG18" s="115">
        <v>2.8896473773104381</v>
      </c>
      <c r="AH18" s="114">
        <v>163784.49093411129</v>
      </c>
      <c r="AI18" s="110">
        <f t="shared" si="11"/>
        <v>1.7532969732030304</v>
      </c>
      <c r="AJ18" s="109">
        <f t="shared" si="12"/>
        <v>29772606.135654639</v>
      </c>
      <c r="AK18" s="111"/>
    </row>
    <row r="19" spans="1:37" x14ac:dyDescent="0.2">
      <c r="A19" s="85" t="s">
        <v>56</v>
      </c>
      <c r="B19" s="100">
        <v>2.84</v>
      </c>
      <c r="C19" s="101">
        <f>[1]Datos!I$13*B19%</f>
        <v>27733395.65724</v>
      </c>
      <c r="D19" s="102">
        <f t="shared" si="0"/>
        <v>3.1699231045024834</v>
      </c>
      <c r="E19" s="103">
        <v>34393</v>
      </c>
      <c r="F19" s="104">
        <f t="shared" si="1"/>
        <v>3.1699231045024834</v>
      </c>
      <c r="G19" s="104">
        <f t="shared" si="2"/>
        <v>1.90195386270149</v>
      </c>
      <c r="H19" s="105">
        <f>[1]Datos!$K$18*'[1] total'!H20/100</f>
        <v>1271483.4293323832</v>
      </c>
      <c r="I19" s="102">
        <v>1.369108</v>
      </c>
      <c r="J19" s="102">
        <f t="shared" si="3"/>
        <v>6.4019995482013146</v>
      </c>
      <c r="K19" s="102">
        <f t="shared" si="4"/>
        <v>1.9205998644603943</v>
      </c>
      <c r="L19" s="103">
        <f>[1]Datos!$K$18*'[1] total'!L20/100</f>
        <v>1283948.5488732299</v>
      </c>
      <c r="M19" s="106">
        <f t="shared" si="5"/>
        <v>2555431.9782056129</v>
      </c>
      <c r="N19" s="102">
        <f t="shared" si="6"/>
        <v>3.8225537271618846</v>
      </c>
      <c r="O19" s="102">
        <f t="shared" si="7"/>
        <v>0.26160521770938344</v>
      </c>
      <c r="P19" s="102">
        <f t="shared" si="8"/>
        <v>4.1048855663354225</v>
      </c>
      <c r="Q19" s="102">
        <f t="shared" si="9"/>
        <v>0.41048855663354228</v>
      </c>
      <c r="R19" s="103">
        <f>Q19*[1]Datos!$K$18/100</f>
        <v>274417.48610493657</v>
      </c>
      <c r="S19" s="104">
        <v>4.2330420652226719</v>
      </c>
      <c r="T19" s="106">
        <f t="shared" si="10"/>
        <v>30563245.121550549</v>
      </c>
      <c r="U19" s="113">
        <v>1.7655660867705119</v>
      </c>
      <c r="V19" s="113">
        <v>5.861681742680843</v>
      </c>
      <c r="W19" s="114">
        <v>12568676.739013519</v>
      </c>
      <c r="X19" s="115">
        <v>6.1803481620033698E-2</v>
      </c>
      <c r="Y19" s="114">
        <v>1499273.3335974917</v>
      </c>
      <c r="Z19" s="115">
        <v>3.2414629455298098</v>
      </c>
      <c r="AA19" s="114">
        <v>4133690.3884439413</v>
      </c>
      <c r="AB19" s="115">
        <v>0.05</v>
      </c>
      <c r="AC19" s="114">
        <v>1151621.9999999998</v>
      </c>
      <c r="AD19" s="115">
        <v>3.1699231045024834</v>
      </c>
      <c r="AE19" s="114">
        <v>1561372.1415422095</v>
      </c>
      <c r="AF19" s="114">
        <v>3292.0099999999998</v>
      </c>
      <c r="AG19" s="115">
        <v>3.6184743284835568</v>
      </c>
      <c r="AH19" s="114">
        <v>205094.22031986591</v>
      </c>
      <c r="AI19" s="110">
        <f t="shared" si="11"/>
        <v>3.0437837131634176</v>
      </c>
      <c r="AJ19" s="109">
        <f t="shared" si="12"/>
        <v>51686265.954467572</v>
      </c>
      <c r="AK19" s="111"/>
    </row>
    <row r="20" spans="1:37" x14ac:dyDescent="0.2">
      <c r="A20" s="85" t="s">
        <v>57</v>
      </c>
      <c r="B20" s="100">
        <v>3.33</v>
      </c>
      <c r="C20" s="101">
        <f>[1]Datos!I$13*B20%</f>
        <v>32518382.936130002</v>
      </c>
      <c r="D20" s="102">
        <f t="shared" si="0"/>
        <v>2.1630833407835541</v>
      </c>
      <c r="E20" s="103">
        <v>23469</v>
      </c>
      <c r="F20" s="104">
        <f t="shared" si="1"/>
        <v>2.1630833407835541</v>
      </c>
      <c r="G20" s="104">
        <f t="shared" si="2"/>
        <v>1.2978500044701324</v>
      </c>
      <c r="H20" s="105">
        <f>[1]Datos!$K$18*'[1] total'!H21/100</f>
        <v>867631.33785949752</v>
      </c>
      <c r="I20" s="102">
        <v>0.71338900000000005</v>
      </c>
      <c r="J20" s="102">
        <f t="shared" si="3"/>
        <v>3.3358332985358259</v>
      </c>
      <c r="K20" s="102">
        <f t="shared" si="4"/>
        <v>1.0007499895607477</v>
      </c>
      <c r="L20" s="103">
        <f>[1]Datos!$K$18*'[1] total'!L21/100</f>
        <v>669015.71777545998</v>
      </c>
      <c r="M20" s="106">
        <f t="shared" si="5"/>
        <v>1536647.0556349575</v>
      </c>
      <c r="N20" s="102">
        <f t="shared" si="6"/>
        <v>2.2985999940308801</v>
      </c>
      <c r="O20" s="102">
        <f t="shared" si="7"/>
        <v>0.4350474212985514</v>
      </c>
      <c r="P20" s="102">
        <f t="shared" si="8"/>
        <v>6.8263924397094096</v>
      </c>
      <c r="Q20" s="102">
        <f t="shared" si="9"/>
        <v>0.682639243970941</v>
      </c>
      <c r="R20" s="103">
        <f>Q20*[1]Datos!$K$18/100</f>
        <v>456354.1229586933</v>
      </c>
      <c r="S20" s="104">
        <v>2.9812390161738076</v>
      </c>
      <c r="T20" s="106">
        <f t="shared" si="10"/>
        <v>34511384.114723645</v>
      </c>
      <c r="U20" s="113">
        <v>1.2441541676513608</v>
      </c>
      <c r="V20" s="113"/>
      <c r="W20" s="114">
        <v>14484675.328835202</v>
      </c>
      <c r="X20" s="115">
        <v>3.7971935605192027E-2</v>
      </c>
      <c r="Y20" s="114">
        <v>977215.62929186749</v>
      </c>
      <c r="Z20" s="115">
        <v>3.0126211519214445</v>
      </c>
      <c r="AA20" s="114">
        <v>2237834.8193151141</v>
      </c>
      <c r="AB20" s="115">
        <v>0.05</v>
      </c>
      <c r="AC20" s="114">
        <v>1001169</v>
      </c>
      <c r="AD20" s="115">
        <v>2.1630833407835541</v>
      </c>
      <c r="AE20" s="114">
        <v>1025304.7411974563</v>
      </c>
      <c r="AF20" s="114">
        <v>71.33</v>
      </c>
      <c r="AG20" s="115">
        <v>3.3911581349710915</v>
      </c>
      <c r="AH20" s="114">
        <v>192209.99530062772</v>
      </c>
      <c r="AI20" s="110">
        <f t="shared" si="11"/>
        <v>3.2053531709335115</v>
      </c>
      <c r="AJ20" s="109">
        <f t="shared" si="12"/>
        <v>54429864.958663918</v>
      </c>
      <c r="AK20" s="111"/>
    </row>
    <row r="21" spans="1:37" x14ac:dyDescent="0.2">
      <c r="A21" s="85" t="s">
        <v>58</v>
      </c>
      <c r="B21" s="100">
        <v>4.6900000000000004</v>
      </c>
      <c r="C21" s="101">
        <f>[1]Datos!I$13*B21%</f>
        <v>45799163.955090009</v>
      </c>
      <c r="D21" s="102">
        <f t="shared" si="0"/>
        <v>3.9742704697510276</v>
      </c>
      <c r="E21" s="103">
        <v>43120</v>
      </c>
      <c r="F21" s="104">
        <f t="shared" si="1"/>
        <v>3.9742704697510276</v>
      </c>
      <c r="G21" s="104">
        <f t="shared" si="2"/>
        <v>2.3845622818506165</v>
      </c>
      <c r="H21" s="105">
        <f>[1]Datos!$K$18*'[1] total'!H22/100</f>
        <v>1594114.0776556963</v>
      </c>
      <c r="I21" s="102">
        <v>0.39641700000000002</v>
      </c>
      <c r="J21" s="102">
        <f t="shared" si="3"/>
        <v>1.8536605256118004</v>
      </c>
      <c r="K21" s="102">
        <f t="shared" si="4"/>
        <v>0.5560981576835401</v>
      </c>
      <c r="L21" s="103">
        <f>[1]Datos!$K$18*'[1] total'!L22/100</f>
        <v>371759.59230292955</v>
      </c>
      <c r="M21" s="106">
        <f t="shared" si="5"/>
        <v>1965873.6699586259</v>
      </c>
      <c r="N21" s="102">
        <f t="shared" si="6"/>
        <v>2.9406604395341565</v>
      </c>
      <c r="O21" s="102">
        <f t="shared" si="7"/>
        <v>0.3400596636578736</v>
      </c>
      <c r="P21" s="102">
        <f t="shared" si="8"/>
        <v>5.3359257023412736</v>
      </c>
      <c r="Q21" s="102">
        <f t="shared" si="9"/>
        <v>0.53359257023412743</v>
      </c>
      <c r="R21" s="103">
        <f>Q21*[1]Datos!$K$18/100</f>
        <v>356714.28438537871</v>
      </c>
      <c r="S21" s="104">
        <v>3.4742535094168945</v>
      </c>
      <c r="T21" s="106">
        <f t="shared" si="10"/>
        <v>48121751.909434006</v>
      </c>
      <c r="U21" s="113">
        <v>2.3634106175735554</v>
      </c>
      <c r="V21" s="113"/>
      <c r="W21" s="114">
        <v>20441258.915506329</v>
      </c>
      <c r="X21" s="115">
        <v>0.16143540577767385</v>
      </c>
      <c r="Y21" s="114">
        <v>1754142.6800574136</v>
      </c>
      <c r="Z21" s="115">
        <v>3.5975620476661549</v>
      </c>
      <c r="AA21" s="114">
        <v>2906900.0917752222</v>
      </c>
      <c r="AB21" s="115">
        <v>0.05</v>
      </c>
      <c r="AC21" s="114">
        <v>743544</v>
      </c>
      <c r="AD21" s="115">
        <v>3.9742704697510276</v>
      </c>
      <c r="AE21" s="114">
        <v>1840866.3822194946</v>
      </c>
      <c r="AF21" s="114">
        <v>90.62</v>
      </c>
      <c r="AG21" s="115">
        <v>4.2266795246011171</v>
      </c>
      <c r="AH21" s="114">
        <v>239567.1387845102</v>
      </c>
      <c r="AI21" s="110">
        <f t="shared" si="11"/>
        <v>4.4784437429863644</v>
      </c>
      <c r="AJ21" s="109">
        <f t="shared" si="12"/>
        <v>76048121.73777698</v>
      </c>
      <c r="AK21" s="111"/>
    </row>
    <row r="22" spans="1:37" x14ac:dyDescent="0.2">
      <c r="A22" s="85" t="s">
        <v>59</v>
      </c>
      <c r="B22" s="100">
        <v>2.13</v>
      </c>
      <c r="C22" s="101">
        <f>[1]Datos!I$13*B22%</f>
        <v>20800046.742929999</v>
      </c>
      <c r="D22" s="102">
        <f t="shared" si="0"/>
        <v>0.69217929563613667</v>
      </c>
      <c r="E22" s="103">
        <v>7510</v>
      </c>
      <c r="F22" s="104">
        <f t="shared" si="1"/>
        <v>0.69217929563613667</v>
      </c>
      <c r="G22" s="104">
        <f t="shared" si="2"/>
        <v>0.415307577381682</v>
      </c>
      <c r="H22" s="105">
        <f>[1]Datos!$K$18*'[1] total'!H23/100</f>
        <v>277639.07057500648</v>
      </c>
      <c r="I22" s="102">
        <v>0.79456599999999999</v>
      </c>
      <c r="J22" s="102">
        <f t="shared" si="3"/>
        <v>3.7154199471598481</v>
      </c>
      <c r="K22" s="102">
        <f t="shared" si="4"/>
        <v>1.1146259841479544</v>
      </c>
      <c r="L22" s="103">
        <f>[1]Datos!$K$18*'[1] total'!L23/100</f>
        <v>745143.45302489412</v>
      </c>
      <c r="M22" s="106">
        <f t="shared" si="5"/>
        <v>1022782.5235999005</v>
      </c>
      <c r="N22" s="102">
        <f t="shared" si="6"/>
        <v>1.5299335615296363</v>
      </c>
      <c r="O22" s="102">
        <f t="shared" si="7"/>
        <v>0.65362315406702642</v>
      </c>
      <c r="P22" s="102">
        <f t="shared" si="8"/>
        <v>10.256096091833161</v>
      </c>
      <c r="Q22" s="102">
        <f t="shared" si="9"/>
        <v>1.0256096091833162</v>
      </c>
      <c r="R22" s="103">
        <f>Q22*[1]Datos!$K$18/100</f>
        <v>685634.72995523294</v>
      </c>
      <c r="S22" s="104">
        <v>2.5555429449907696</v>
      </c>
      <c r="T22" s="106">
        <f t="shared" si="10"/>
        <v>22508463.996485133</v>
      </c>
      <c r="U22" s="113">
        <v>0.46595397676453332</v>
      </c>
      <c r="V22" s="113">
        <v>5.0570153958107262</v>
      </c>
      <c r="W22" s="114">
        <v>9388003.8978192136</v>
      </c>
      <c r="X22" s="115">
        <v>8.9566195422441722E-3</v>
      </c>
      <c r="Y22" s="114">
        <v>331317.77228976396</v>
      </c>
      <c r="Z22" s="115">
        <v>5.1672708234015392</v>
      </c>
      <c r="AA22" s="114">
        <v>1102158.8789016143</v>
      </c>
      <c r="AB22" s="115">
        <v>0.05</v>
      </c>
      <c r="AC22" s="114">
        <v>1497870</v>
      </c>
      <c r="AD22" s="115">
        <v>0.69217929563613667</v>
      </c>
      <c r="AE22" s="114">
        <v>344734.70162844163</v>
      </c>
      <c r="AF22" s="114">
        <v>0</v>
      </c>
      <c r="AG22" s="115">
        <v>2.4671803555355054</v>
      </c>
      <c r="AH22" s="114">
        <v>139839.16575666357</v>
      </c>
      <c r="AI22" s="110">
        <f t="shared" si="11"/>
        <v>2.0795325554899518</v>
      </c>
      <c r="AJ22" s="109">
        <f t="shared" si="12"/>
        <v>35312388.41288083</v>
      </c>
      <c r="AK22" s="111"/>
    </row>
    <row r="23" spans="1:37" x14ac:dyDescent="0.2">
      <c r="A23" s="85" t="s">
        <v>60</v>
      </c>
      <c r="B23" s="100">
        <v>2.81</v>
      </c>
      <c r="C23" s="101">
        <f>[1]Datos!I$13*B23%</f>
        <v>27440437.252410002</v>
      </c>
      <c r="D23" s="102">
        <f t="shared" si="0"/>
        <v>2.0656621003724496</v>
      </c>
      <c r="E23" s="103">
        <v>22412</v>
      </c>
      <c r="F23" s="104">
        <f t="shared" si="1"/>
        <v>2.0656621003724496</v>
      </c>
      <c r="G23" s="104">
        <f t="shared" si="2"/>
        <v>1.2393972602234697</v>
      </c>
      <c r="H23" s="105">
        <f>[1]Datos!$K$18*'[1] total'!H24/100</f>
        <v>828554.84017670376</v>
      </c>
      <c r="I23" s="102">
        <v>1.099386</v>
      </c>
      <c r="J23" s="102">
        <f t="shared" si="3"/>
        <v>5.1407695194965264</v>
      </c>
      <c r="K23" s="102">
        <f t="shared" si="4"/>
        <v>1.5422308558489579</v>
      </c>
      <c r="L23" s="103">
        <f>[1]Datos!$K$18*'[1] total'!L24/100</f>
        <v>1031003.4411832702</v>
      </c>
      <c r="M23" s="106">
        <f t="shared" si="5"/>
        <v>1859558.2813599738</v>
      </c>
      <c r="N23" s="102">
        <f t="shared" si="6"/>
        <v>2.7816281160724277</v>
      </c>
      <c r="O23" s="102">
        <f t="shared" si="7"/>
        <v>0.35950168687968576</v>
      </c>
      <c r="P23" s="102">
        <f t="shared" si="8"/>
        <v>5.6409933198848687</v>
      </c>
      <c r="Q23" s="102">
        <f t="shared" si="9"/>
        <v>0.56409933198848694</v>
      </c>
      <c r="R23" s="103">
        <f>Q23*[1]Datos!$K$18/100</f>
        <v>377108.49205462483</v>
      </c>
      <c r="S23" s="104">
        <v>3.3457270895902815</v>
      </c>
      <c r="T23" s="106">
        <f t="shared" si="10"/>
        <v>29677104.025824603</v>
      </c>
      <c r="U23" s="113">
        <v>1.2691053041140012</v>
      </c>
      <c r="V23" s="113">
        <v>9.5561626304165532</v>
      </c>
      <c r="W23" s="114">
        <v>12511710.742531365</v>
      </c>
      <c r="X23" s="115">
        <v>5.268794325630187E-2</v>
      </c>
      <c r="Y23" s="114">
        <v>1009256.472542061</v>
      </c>
      <c r="Z23" s="115">
        <v>3.0150963522249858</v>
      </c>
      <c r="AA23" s="114">
        <v>2002790.311309342</v>
      </c>
      <c r="AB23" s="115">
        <v>0.05</v>
      </c>
      <c r="AC23" s="114">
        <v>1163988</v>
      </c>
      <c r="AD23" s="115">
        <v>2.0656621003724496</v>
      </c>
      <c r="AE23" s="114">
        <v>1045030.4116373679</v>
      </c>
      <c r="AF23" s="114">
        <v>0</v>
      </c>
      <c r="AG23" s="115">
        <v>3.1368067294544573</v>
      </c>
      <c r="AH23" s="114">
        <v>177793.42122379629</v>
      </c>
      <c r="AI23" s="110">
        <f t="shared" si="11"/>
        <v>2.8024192214700285</v>
      </c>
      <c r="AJ23" s="109">
        <f t="shared" si="12"/>
        <v>47587673.385068536</v>
      </c>
      <c r="AK23" s="111"/>
    </row>
    <row r="24" spans="1:37" x14ac:dyDescent="0.2">
      <c r="A24" s="85" t="s">
        <v>61</v>
      </c>
      <c r="B24" s="100">
        <v>8.34</v>
      </c>
      <c r="C24" s="101">
        <f>[1]Datos!I$13*B24%</f>
        <v>81442436.542740002</v>
      </c>
      <c r="D24" s="102">
        <f t="shared" si="0"/>
        <v>8.5784148817626882</v>
      </c>
      <c r="E24" s="103">
        <v>93074</v>
      </c>
      <c r="F24" s="104">
        <f t="shared" si="1"/>
        <v>8.5784148817626882</v>
      </c>
      <c r="G24" s="104">
        <f t="shared" si="2"/>
        <v>5.1470489290576129</v>
      </c>
      <c r="H24" s="105">
        <f>[1]Datos!$K$18*'[1] total'!H25/100</f>
        <v>3440876.0126096075</v>
      </c>
      <c r="I24" s="102">
        <v>0.94212600000000002</v>
      </c>
      <c r="J24" s="102">
        <f t="shared" si="3"/>
        <v>4.4054159542919269</v>
      </c>
      <c r="K24" s="102">
        <f t="shared" si="4"/>
        <v>1.3216247862875781</v>
      </c>
      <c r="L24" s="103">
        <f>[1]Datos!$K$18*'[1] total'!L25/100</f>
        <v>883525.12041105644</v>
      </c>
      <c r="M24" s="106">
        <f t="shared" si="5"/>
        <v>4324401.1330206636</v>
      </c>
      <c r="N24" s="102">
        <f t="shared" si="6"/>
        <v>6.468673715345191</v>
      </c>
      <c r="O24" s="102">
        <f t="shared" si="7"/>
        <v>0.1545911950432387</v>
      </c>
      <c r="P24" s="102">
        <f t="shared" si="8"/>
        <v>2.4257129531739197</v>
      </c>
      <c r="Q24" s="102">
        <f t="shared" si="9"/>
        <v>0.24257129531739197</v>
      </c>
      <c r="R24" s="103">
        <f>Q24*[1]Datos!$K$18/100</f>
        <v>162162.38914948006</v>
      </c>
      <c r="S24" s="104">
        <v>6.7112450015487957</v>
      </c>
      <c r="T24" s="106">
        <f t="shared" si="10"/>
        <v>85929000.064910144</v>
      </c>
      <c r="U24" s="113">
        <v>5.8185719548508628</v>
      </c>
      <c r="V24" s="113">
        <v>42.21943225899679</v>
      </c>
      <c r="W24" s="114">
        <v>37669438.992573962</v>
      </c>
      <c r="X24" s="115">
        <v>1.416294664718754</v>
      </c>
      <c r="Y24" s="114">
        <v>4028325.2352651218</v>
      </c>
      <c r="Z24" s="115">
        <v>6.382735265916482</v>
      </c>
      <c r="AA24" s="114">
        <v>7112063.0912017226</v>
      </c>
      <c r="AB24" s="115">
        <v>0.05</v>
      </c>
      <c r="AC24" s="114">
        <v>467370</v>
      </c>
      <c r="AD24" s="115">
        <v>8.5784148817626882</v>
      </c>
      <c r="AE24" s="114">
        <v>4111088.553477441</v>
      </c>
      <c r="AF24" s="114">
        <v>717.7600000000001</v>
      </c>
      <c r="AG24" s="115">
        <v>6.9649956028805624</v>
      </c>
      <c r="AH24" s="114">
        <v>394774.20952236955</v>
      </c>
      <c r="AI24" s="110">
        <f t="shared" si="11"/>
        <v>8.2276301075534928</v>
      </c>
      <c r="AJ24" s="109">
        <f t="shared" si="12"/>
        <v>139712777.90695074</v>
      </c>
      <c r="AK24" s="111"/>
    </row>
    <row r="25" spans="1:37" x14ac:dyDescent="0.2">
      <c r="A25" s="85" t="s">
        <v>62</v>
      </c>
      <c r="B25" s="100">
        <v>3.5</v>
      </c>
      <c r="C25" s="101">
        <f>[1]Datos!I$13*B25%</f>
        <v>34178480.563500002</v>
      </c>
      <c r="D25" s="102">
        <f t="shared" si="0"/>
        <v>3.6642183857936419</v>
      </c>
      <c r="E25" s="103">
        <v>39756</v>
      </c>
      <c r="F25" s="104">
        <f t="shared" si="1"/>
        <v>3.6642183857936419</v>
      </c>
      <c r="G25" s="104">
        <f t="shared" si="2"/>
        <v>2.1985310314761852</v>
      </c>
      <c r="H25" s="105">
        <f>[1]Datos!$K$18*'[1] total'!H26/100</f>
        <v>1469749.51927829</v>
      </c>
      <c r="I25" s="102">
        <v>2.345564</v>
      </c>
      <c r="J25" s="102">
        <f t="shared" si="3"/>
        <v>10.967943849774647</v>
      </c>
      <c r="K25" s="102">
        <f t="shared" si="4"/>
        <v>3.2903831549323939</v>
      </c>
      <c r="L25" s="103">
        <f>[1]Datos!$K$18*'[1] total'!L26/100</f>
        <v>2199668.3198763635</v>
      </c>
      <c r="M25" s="106">
        <f t="shared" si="5"/>
        <v>3669417.8391546533</v>
      </c>
      <c r="N25" s="102">
        <f t="shared" si="6"/>
        <v>5.4889141864085786</v>
      </c>
      <c r="O25" s="102">
        <f t="shared" si="7"/>
        <v>0.18218539515085852</v>
      </c>
      <c r="P25" s="102">
        <f t="shared" si="8"/>
        <v>2.8586975653622453</v>
      </c>
      <c r="Q25" s="102">
        <f t="shared" si="9"/>
        <v>0.28586975653622454</v>
      </c>
      <c r="R25" s="103">
        <f>Q25*[1]Datos!$K$18/100</f>
        <v>191108.03133090504</v>
      </c>
      <c r="S25" s="104">
        <v>5.7747839041802358</v>
      </c>
      <c r="T25" s="106">
        <f t="shared" si="10"/>
        <v>38039006.433985561</v>
      </c>
      <c r="U25" s="113">
        <v>2.8442186521889026</v>
      </c>
      <c r="V25" s="113"/>
      <c r="W25" s="114">
        <v>15327017.778603246</v>
      </c>
      <c r="X25" s="115">
        <v>0.40035420756583406</v>
      </c>
      <c r="Y25" s="114">
        <v>1760160.5066376256</v>
      </c>
      <c r="Z25" s="115">
        <v>3.4495328704769186</v>
      </c>
      <c r="AA25" s="114">
        <v>3773536.4852974913</v>
      </c>
      <c r="AB25" s="115">
        <v>0.05</v>
      </c>
      <c r="AC25" s="114">
        <v>957888.00000000012</v>
      </c>
      <c r="AD25" s="115">
        <v>3.6642183857936419</v>
      </c>
      <c r="AE25" s="114">
        <v>1805380.7802184192</v>
      </c>
      <c r="AF25" s="114">
        <v>678.06</v>
      </c>
      <c r="AG25" s="115">
        <v>4.0731498328395848</v>
      </c>
      <c r="AH25" s="114">
        <v>230865.11423788947</v>
      </c>
      <c r="AI25" s="110">
        <f t="shared" si="11"/>
        <v>3.6449445221893244</v>
      </c>
      <c r="AJ25" s="109">
        <f t="shared" si="12"/>
        <v>61894533.158980243</v>
      </c>
      <c r="AK25" s="111"/>
    </row>
    <row r="26" spans="1:37" x14ac:dyDescent="0.2">
      <c r="A26" s="85" t="s">
        <v>63</v>
      </c>
      <c r="B26" s="100">
        <v>39</v>
      </c>
      <c r="C26" s="101">
        <f>[1]Datos!I$13*B26%</f>
        <v>380845926.27900004</v>
      </c>
      <c r="D26" s="102">
        <f t="shared" si="0"/>
        <v>35.046669106037996</v>
      </c>
      <c r="E26" s="103">
        <v>380249</v>
      </c>
      <c r="F26" s="104">
        <f t="shared" si="1"/>
        <v>35.046669106037996</v>
      </c>
      <c r="G26" s="104">
        <f t="shared" si="2"/>
        <v>21.028001463622797</v>
      </c>
      <c r="H26" s="105">
        <f>[1]Datos!$K$18*'[1] total'!H27/100</f>
        <v>14057520.498944825</v>
      </c>
      <c r="I26" s="102">
        <v>0.84406499999999995</v>
      </c>
      <c r="J26" s="102">
        <f t="shared" si="3"/>
        <v>3.9468790984002302</v>
      </c>
      <c r="K26" s="102">
        <f t="shared" si="4"/>
        <v>1.1840637295200691</v>
      </c>
      <c r="L26" s="103">
        <f>[1]Datos!$K$18*'[1] total'!L27/100</f>
        <v>791563.58147398371</v>
      </c>
      <c r="M26" s="106">
        <f t="shared" si="5"/>
        <v>14849084.080418808</v>
      </c>
      <c r="N26" s="102">
        <f t="shared" si="6"/>
        <v>22.212065193142866</v>
      </c>
      <c r="O26" s="102">
        <f t="shared" si="7"/>
        <v>4.5020577389116981E-2</v>
      </c>
      <c r="P26" s="102">
        <f t="shared" si="8"/>
        <v>0.7064244357617202</v>
      </c>
      <c r="Q26" s="102">
        <f t="shared" si="9"/>
        <v>7.0642443576172026E-2</v>
      </c>
      <c r="R26" s="103">
        <f>Q26*[1]Datos!$K$18/100</f>
        <v>47225.486472669429</v>
      </c>
      <c r="S26" s="104">
        <v>22.282707963393229</v>
      </c>
      <c r="T26" s="106">
        <f t="shared" si="10"/>
        <v>395742235.84589154</v>
      </c>
      <c r="U26" s="113">
        <v>36.448373784547655</v>
      </c>
      <c r="V26" s="113"/>
      <c r="W26" s="114">
        <v>171105199.36995351</v>
      </c>
      <c r="X26" s="115">
        <v>71.60100207508539</v>
      </c>
      <c r="Y26" s="114">
        <v>21379461.858620115</v>
      </c>
      <c r="Z26" s="115">
        <v>24.625152393265992</v>
      </c>
      <c r="AA26" s="114">
        <v>24311351.94052922</v>
      </c>
      <c r="AB26" s="115">
        <v>0.05</v>
      </c>
      <c r="AC26" s="114">
        <v>193257</v>
      </c>
      <c r="AD26" s="115">
        <v>35.046669106037996</v>
      </c>
      <c r="AE26" s="114">
        <v>16461803.587435195</v>
      </c>
      <c r="AF26" s="114">
        <v>148856.48000000001</v>
      </c>
      <c r="AG26" s="115">
        <v>22.834075529861494</v>
      </c>
      <c r="AH26" s="114">
        <v>1294229.6925136673</v>
      </c>
      <c r="AI26" s="110">
        <f t="shared" si="11"/>
        <v>37.137927357314453</v>
      </c>
      <c r="AJ26" s="109">
        <f t="shared" si="12"/>
        <v>630636395.77494347</v>
      </c>
      <c r="AK26" s="111"/>
    </row>
    <row r="27" spans="1:37" x14ac:dyDescent="0.2">
      <c r="A27" s="85" t="s">
        <v>64</v>
      </c>
      <c r="B27" s="100">
        <v>3.79</v>
      </c>
      <c r="C27" s="101">
        <f>[1]Datos!I$13*B27%</f>
        <v>37010411.810190007</v>
      </c>
      <c r="D27" s="102">
        <f t="shared" si="0"/>
        <v>2.7677955057194654</v>
      </c>
      <c r="E27" s="103">
        <v>30030</v>
      </c>
      <c r="F27" s="104">
        <f t="shared" si="1"/>
        <v>2.7677955057194654</v>
      </c>
      <c r="G27" s="104">
        <f t="shared" si="2"/>
        <v>1.6606773034316793</v>
      </c>
      <c r="H27" s="105">
        <f>[1]Datos!$K$18*'[1] total'!H28/100</f>
        <v>1110186.5897959315</v>
      </c>
      <c r="I27" s="102">
        <v>0.97075900000000004</v>
      </c>
      <c r="J27" s="102">
        <f t="shared" si="3"/>
        <v>4.5393049192703279</v>
      </c>
      <c r="K27" s="102">
        <f t="shared" si="4"/>
        <v>1.3617914757810983</v>
      </c>
      <c r="L27" s="103">
        <f>[1]Datos!$K$18*'[1] total'!L28/100</f>
        <v>910377.12828763528</v>
      </c>
      <c r="M27" s="106">
        <f t="shared" si="5"/>
        <v>2020563.7180835668</v>
      </c>
      <c r="N27" s="102">
        <f t="shared" si="6"/>
        <v>3.0224687792127778</v>
      </c>
      <c r="O27" s="102">
        <f t="shared" si="7"/>
        <v>0.33085536131177395</v>
      </c>
      <c r="P27" s="102">
        <f t="shared" si="8"/>
        <v>5.1914996538873615</v>
      </c>
      <c r="Q27" s="102">
        <f t="shared" si="9"/>
        <v>0.51914996538873615</v>
      </c>
      <c r="R27" s="103">
        <f>Q27*[1]Datos!$K$18/100</f>
        <v>347059.1959537238</v>
      </c>
      <c r="S27" s="104">
        <v>3.5416185128152713</v>
      </c>
      <c r="T27" s="106">
        <f t="shared" si="10"/>
        <v>39378034.724227302</v>
      </c>
      <c r="U27" s="113">
        <v>1.7291972038358334</v>
      </c>
      <c r="V27" s="113">
        <v>7.168068939478121</v>
      </c>
      <c r="W27" s="114">
        <v>16712228.780116938</v>
      </c>
      <c r="X27" s="115">
        <v>0.10317285568284347</v>
      </c>
      <c r="Y27" s="114">
        <v>1330694.9306917014</v>
      </c>
      <c r="Z27" s="115">
        <v>3.1085321391435068</v>
      </c>
      <c r="AA27" s="114">
        <v>2360583.4520384716</v>
      </c>
      <c r="AB27" s="115">
        <v>0.05</v>
      </c>
      <c r="AC27" s="114">
        <v>893996.99999999988</v>
      </c>
      <c r="AD27" s="115">
        <v>2.7677955057194654</v>
      </c>
      <c r="AE27" s="114">
        <v>1378867.9871707195</v>
      </c>
      <c r="AF27" s="114">
        <v>717.25</v>
      </c>
      <c r="AG27" s="115">
        <v>3.5973388875974166</v>
      </c>
      <c r="AH27" s="114">
        <v>203896.26881429966</v>
      </c>
      <c r="AI27" s="110">
        <f t="shared" si="11"/>
        <v>3.6664090309182695</v>
      </c>
      <c r="AJ27" s="109">
        <f t="shared" si="12"/>
        <v>62259020.39305944</v>
      </c>
      <c r="AK27" s="111"/>
    </row>
    <row r="28" spans="1:37" x14ac:dyDescent="0.2">
      <c r="A28" s="85" t="s">
        <v>65</v>
      </c>
      <c r="B28" s="100">
        <v>3.1</v>
      </c>
      <c r="C28" s="101">
        <f>[1]Datos!I$13*B28%</f>
        <v>30272368.4991</v>
      </c>
      <c r="D28" s="102">
        <f t="shared" si="0"/>
        <v>4.5256175465147246</v>
      </c>
      <c r="E28" s="103">
        <v>49102</v>
      </c>
      <c r="F28" s="104">
        <f t="shared" si="1"/>
        <v>4.5256175465147246</v>
      </c>
      <c r="G28" s="104">
        <f t="shared" si="2"/>
        <v>2.7153705279088345</v>
      </c>
      <c r="H28" s="105">
        <f>[1]Datos!$K$18*'[1] total'!H29/100</f>
        <v>1815264.1336050553</v>
      </c>
      <c r="I28" s="102">
        <v>1.0003390000000001</v>
      </c>
      <c r="J28" s="102">
        <f t="shared" si="3"/>
        <v>4.6776220912069428</v>
      </c>
      <c r="K28" s="102">
        <f t="shared" si="4"/>
        <v>1.4032866273620828</v>
      </c>
      <c r="L28" s="103">
        <f>[1]Datos!$K$18*'[1] total'!L29/100</f>
        <v>938117.23211850191</v>
      </c>
      <c r="M28" s="106">
        <f t="shared" si="5"/>
        <v>2753381.3657235573</v>
      </c>
      <c r="N28" s="102">
        <f t="shared" si="6"/>
        <v>4.1186571552709168</v>
      </c>
      <c r="O28" s="102">
        <f t="shared" si="7"/>
        <v>0.24279758239168661</v>
      </c>
      <c r="P28" s="102">
        <f t="shared" si="8"/>
        <v>3.80977222177561</v>
      </c>
      <c r="Q28" s="102">
        <f t="shared" si="9"/>
        <v>0.38097722217756103</v>
      </c>
      <c r="R28" s="103">
        <f>Q28*[1]Datos!$K$18/100</f>
        <v>254688.73585808833</v>
      </c>
      <c r="S28" s="104">
        <v>4.4996349437515368</v>
      </c>
      <c r="T28" s="106">
        <f t="shared" si="10"/>
        <v>33280438.600681644</v>
      </c>
      <c r="U28" s="113">
        <v>4.9083816331685046</v>
      </c>
      <c r="V28" s="113"/>
      <c r="W28" s="114">
        <v>13735336.223802971</v>
      </c>
      <c r="X28" s="115">
        <v>1.2925077027371872</v>
      </c>
      <c r="Y28" s="114">
        <v>2096488.5766014932</v>
      </c>
      <c r="Z28" s="115">
        <v>3.8841429433047581</v>
      </c>
      <c r="AA28" s="114">
        <v>3312986.4423156036</v>
      </c>
      <c r="AB28" s="115">
        <v>0.05</v>
      </c>
      <c r="AC28" s="114">
        <v>1065060</v>
      </c>
      <c r="AD28" s="115">
        <v>4.5256175465147246</v>
      </c>
      <c r="AE28" s="114">
        <v>2104808.0382303251</v>
      </c>
      <c r="AF28" s="114">
        <v>1326.09</v>
      </c>
      <c r="AG28" s="115">
        <v>4.801929274025559</v>
      </c>
      <c r="AH28" s="114">
        <v>272172.15076945018</v>
      </c>
      <c r="AI28" s="110">
        <f t="shared" si="11"/>
        <v>3.2900806566322687</v>
      </c>
      <c r="AJ28" s="109">
        <f t="shared" si="12"/>
        <v>55868616.122401483</v>
      </c>
      <c r="AK28" s="111"/>
    </row>
    <row r="29" spans="1:37" x14ac:dyDescent="0.2">
      <c r="A29" s="116" t="s">
        <v>66</v>
      </c>
      <c r="B29" s="117">
        <f>SUM(B9:B28)</f>
        <v>100</v>
      </c>
      <c r="C29" s="118">
        <f>SUM(C9:C28)</f>
        <v>976528016.0999999</v>
      </c>
      <c r="D29" s="119">
        <f>SUM(D9:D28)</f>
        <v>99.999999999999986</v>
      </c>
      <c r="E29" s="120">
        <f>SUM(E9:E28)</f>
        <v>1084979</v>
      </c>
      <c r="F29" s="121">
        <f t="shared" si="1"/>
        <v>99.999999999999986</v>
      </c>
      <c r="G29" s="121">
        <f t="shared" ref="G29:L29" si="13">SUM(G9:G28)</f>
        <v>59.999999999999993</v>
      </c>
      <c r="H29" s="122">
        <f t="shared" si="13"/>
        <v>40110860.339999996</v>
      </c>
      <c r="I29" s="102">
        <f t="shared" si="13"/>
        <v>21.385630999999997</v>
      </c>
      <c r="J29" s="123">
        <f t="shared" si="13"/>
        <v>100.00000000000001</v>
      </c>
      <c r="K29" s="123">
        <f t="shared" si="13"/>
        <v>29.999999999999996</v>
      </c>
      <c r="L29" s="103">
        <f t="shared" si="13"/>
        <v>20055430.170000002</v>
      </c>
      <c r="M29" s="106">
        <f t="shared" si="5"/>
        <v>60166290.509999998</v>
      </c>
      <c r="N29" s="123">
        <f t="shared" ref="N29:T29" si="14">SUM(N9:N28)</f>
        <v>90</v>
      </c>
      <c r="O29" s="123">
        <f t="shared" si="14"/>
        <v>6.3730209644535289</v>
      </c>
      <c r="P29" s="123">
        <f t="shared" si="14"/>
        <v>100</v>
      </c>
      <c r="Q29" s="102">
        <f t="shared" si="14"/>
        <v>10.000000000000002</v>
      </c>
      <c r="R29" s="103">
        <f t="shared" si="14"/>
        <v>6685143.3900000006</v>
      </c>
      <c r="S29" s="104">
        <v>100</v>
      </c>
      <c r="T29" s="106">
        <f t="shared" si="14"/>
        <v>1043379450</v>
      </c>
      <c r="U29" s="113">
        <v>100</v>
      </c>
      <c r="V29" s="113">
        <v>100</v>
      </c>
      <c r="W29" s="103">
        <f>SUM(W9:W28)</f>
        <v>442038999.99639899</v>
      </c>
      <c r="X29" s="104">
        <v>100</v>
      </c>
      <c r="Y29" s="103">
        <f t="shared" ref="Y29:AE29" si="15">SUM(Y9:Y28)</f>
        <v>52133175</v>
      </c>
      <c r="Z29" s="104">
        <v>99.999999999999986</v>
      </c>
      <c r="AA29" s="103">
        <f t="shared" si="15"/>
        <v>85180725.000000015</v>
      </c>
      <c r="AB29" s="104">
        <v>100</v>
      </c>
      <c r="AC29" s="103">
        <f t="shared" si="15"/>
        <v>22950000</v>
      </c>
      <c r="AD29" s="104">
        <v>99.999999999999986</v>
      </c>
      <c r="AE29" s="103">
        <f t="shared" si="15"/>
        <v>46557000</v>
      </c>
      <c r="AF29" s="103">
        <f>SUM(AF9:AF28)</f>
        <v>185273.73</v>
      </c>
      <c r="AG29" s="104">
        <v>99.999999999999986</v>
      </c>
      <c r="AH29" s="103">
        <f t="shared" ref="AH29:AJ29" si="16">SUM(AH9:AH28)</f>
        <v>5667975</v>
      </c>
      <c r="AI29" s="104">
        <f>SUM(AI9:AI28)</f>
        <v>100</v>
      </c>
      <c r="AJ29" s="103">
        <f t="shared" si="16"/>
        <v>1698092598.7263994</v>
      </c>
    </row>
    <row r="30" spans="1:37" x14ac:dyDescent="0.2">
      <c r="A30" s="82" t="s">
        <v>67</v>
      </c>
      <c r="B30" s="111"/>
    </row>
    <row r="31" spans="1:37" x14ac:dyDescent="0.2">
      <c r="A31" s="82" t="s">
        <v>68</v>
      </c>
      <c r="T31" s="124"/>
      <c r="U31" s="124"/>
      <c r="V31" s="124"/>
    </row>
    <row r="32" spans="1:37" x14ac:dyDescent="0.2">
      <c r="A32" s="125" t="s">
        <v>69</v>
      </c>
    </row>
  </sheetData>
  <mergeCells count="32">
    <mergeCell ref="AF5:AF7"/>
    <mergeCell ref="A3:AJ3"/>
    <mergeCell ref="AG4:AH4"/>
    <mergeCell ref="AI4:AJ4"/>
    <mergeCell ref="B5:B7"/>
    <mergeCell ref="E5:H5"/>
    <mergeCell ref="I5:L5"/>
    <mergeCell ref="M5:M8"/>
    <mergeCell ref="N5:R5"/>
    <mergeCell ref="T5:T7"/>
    <mergeCell ref="V5:V8"/>
    <mergeCell ref="AH5:AH7"/>
    <mergeCell ref="AI5:AI8"/>
    <mergeCell ref="AJ5:AJ7"/>
    <mergeCell ref="D6:E6"/>
    <mergeCell ref="I6:I7"/>
    <mergeCell ref="Z4:AA4"/>
    <mergeCell ref="AB4:AC4"/>
    <mergeCell ref="AD4:AE4"/>
    <mergeCell ref="A4:A8"/>
    <mergeCell ref="N6:N8"/>
    <mergeCell ref="D7:E7"/>
    <mergeCell ref="W5:W7"/>
    <mergeCell ref="Y5:Y7"/>
    <mergeCell ref="AA5:AA7"/>
    <mergeCell ref="AC5:AC7"/>
    <mergeCell ref="AE5:AE7"/>
    <mergeCell ref="J6:J7"/>
    <mergeCell ref="L6:L7"/>
    <mergeCell ref="S4:T4"/>
    <mergeCell ref="U4:W4"/>
    <mergeCell ref="X4:Y4"/>
  </mergeCells>
  <printOptions horizontalCentered="1"/>
  <pageMargins left="0.31496062992125984" right="0.70866141732283472" top="0.74803149606299213" bottom="0.74803149606299213" header="0.31496062992125984" footer="0.31496062992125984"/>
  <pageSetup paperSize="5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B2" sqref="B2"/>
    </sheetView>
  </sheetViews>
  <sheetFormatPr baseColWidth="10" defaultColWidth="11.42578125" defaultRowHeight="15" x14ac:dyDescent="0.25"/>
  <sheetData>
    <row r="3" spans="2:7" ht="17.45" customHeight="1" x14ac:dyDescent="0.25">
      <c r="B3" s="386" t="s">
        <v>250</v>
      </c>
      <c r="C3" s="387"/>
      <c r="D3" s="387"/>
      <c r="E3" s="387"/>
      <c r="F3" s="388"/>
      <c r="G3" s="252"/>
    </row>
    <row r="4" spans="2:7" ht="17.45" customHeight="1" x14ac:dyDescent="0.25">
      <c r="B4" s="389"/>
      <c r="C4" s="390"/>
      <c r="D4" s="390"/>
      <c r="E4" s="390"/>
      <c r="F4" s="391"/>
      <c r="G4" s="252"/>
    </row>
    <row r="5" spans="2:7" ht="29.25" customHeight="1" x14ac:dyDescent="0.25">
      <c r="B5" s="281" t="s">
        <v>251</v>
      </c>
      <c r="C5" s="394" t="s">
        <v>2</v>
      </c>
      <c r="D5" s="395"/>
      <c r="E5" s="399" t="s">
        <v>3</v>
      </c>
      <c r="F5" s="400"/>
      <c r="G5" s="253"/>
    </row>
    <row r="6" spans="2:7" x14ac:dyDescent="0.25">
      <c r="B6" s="248"/>
      <c r="C6" s="248" t="s">
        <v>252</v>
      </c>
      <c r="E6" s="401" t="s">
        <v>252</v>
      </c>
      <c r="F6" s="402"/>
    </row>
    <row r="7" spans="2:7" x14ac:dyDescent="0.25">
      <c r="B7" s="249" t="s">
        <v>253</v>
      </c>
      <c r="C7" s="72" t="s">
        <v>254</v>
      </c>
      <c r="D7" s="79" t="s">
        <v>255</v>
      </c>
      <c r="E7" s="72" t="s">
        <v>254</v>
      </c>
      <c r="F7" s="79" t="s">
        <v>255</v>
      </c>
    </row>
    <row r="8" spans="2:7" x14ac:dyDescent="0.25">
      <c r="B8" s="250" t="s">
        <v>254</v>
      </c>
      <c r="C8" s="73" t="s">
        <v>256</v>
      </c>
      <c r="D8" s="80" t="s">
        <v>257</v>
      </c>
      <c r="E8" s="73" t="s">
        <v>256</v>
      </c>
      <c r="F8" s="80" t="s">
        <v>257</v>
      </c>
    </row>
    <row r="9" spans="2:7" x14ac:dyDescent="0.25">
      <c r="B9" s="250" t="s">
        <v>256</v>
      </c>
      <c r="C9" s="73" t="s">
        <v>258</v>
      </c>
      <c r="D9" s="80" t="s">
        <v>259</v>
      </c>
      <c r="E9" s="73" t="s">
        <v>258</v>
      </c>
      <c r="F9" s="80" t="s">
        <v>259</v>
      </c>
    </row>
    <row r="10" spans="2:7" x14ac:dyDescent="0.25">
      <c r="B10" s="250" t="s">
        <v>258</v>
      </c>
      <c r="C10" s="73" t="s">
        <v>260</v>
      </c>
      <c r="D10" s="80" t="s">
        <v>261</v>
      </c>
      <c r="E10" s="73" t="s">
        <v>260</v>
      </c>
      <c r="F10" s="80" t="s">
        <v>261</v>
      </c>
    </row>
    <row r="11" spans="2:7" x14ac:dyDescent="0.25">
      <c r="B11" s="250" t="s">
        <v>260</v>
      </c>
      <c r="C11" s="73" t="s">
        <v>262</v>
      </c>
      <c r="D11" s="80" t="s">
        <v>263</v>
      </c>
      <c r="E11" s="73" t="s">
        <v>262</v>
      </c>
      <c r="F11" s="80" t="s">
        <v>263</v>
      </c>
    </row>
    <row r="12" spans="2:7" x14ac:dyDescent="0.25">
      <c r="B12" s="250" t="s">
        <v>262</v>
      </c>
      <c r="C12" s="73" t="s">
        <v>264</v>
      </c>
      <c r="D12" s="80" t="s">
        <v>259</v>
      </c>
      <c r="E12" s="73" t="s">
        <v>264</v>
      </c>
      <c r="F12" s="80" t="s">
        <v>259</v>
      </c>
    </row>
    <row r="13" spans="2:7" x14ac:dyDescent="0.25">
      <c r="B13" s="250" t="s">
        <v>264</v>
      </c>
      <c r="C13" s="73" t="s">
        <v>265</v>
      </c>
      <c r="D13" s="80" t="s">
        <v>266</v>
      </c>
      <c r="E13" s="73" t="s">
        <v>265</v>
      </c>
      <c r="F13" s="80" t="s">
        <v>266</v>
      </c>
    </row>
    <row r="14" spans="2:7" x14ac:dyDescent="0.25">
      <c r="B14" s="250" t="s">
        <v>265</v>
      </c>
      <c r="C14" s="73" t="s">
        <v>267</v>
      </c>
      <c r="D14" s="80" t="s">
        <v>259</v>
      </c>
      <c r="E14" s="73" t="s">
        <v>267</v>
      </c>
      <c r="F14" s="80" t="s">
        <v>259</v>
      </c>
    </row>
    <row r="15" spans="2:7" x14ac:dyDescent="0.25">
      <c r="B15" s="250" t="s">
        <v>267</v>
      </c>
      <c r="C15" s="73" t="s">
        <v>268</v>
      </c>
      <c r="D15" s="80" t="s">
        <v>259</v>
      </c>
      <c r="E15" s="73" t="s">
        <v>268</v>
      </c>
      <c r="F15" s="80" t="s">
        <v>259</v>
      </c>
    </row>
    <row r="16" spans="2:7" x14ac:dyDescent="0.25">
      <c r="B16" s="250" t="s">
        <v>268</v>
      </c>
      <c r="C16" s="73" t="s">
        <v>269</v>
      </c>
      <c r="D16" s="80" t="s">
        <v>259</v>
      </c>
      <c r="E16" s="73" t="s">
        <v>269</v>
      </c>
      <c r="F16" s="80" t="s">
        <v>259</v>
      </c>
    </row>
    <row r="17" spans="1:7" x14ac:dyDescent="0.25">
      <c r="B17" s="250" t="s">
        <v>269</v>
      </c>
      <c r="C17" s="73" t="s">
        <v>270</v>
      </c>
      <c r="D17" s="80" t="s">
        <v>259</v>
      </c>
      <c r="E17" s="73" t="s">
        <v>270</v>
      </c>
      <c r="F17" s="80" t="s">
        <v>259</v>
      </c>
    </row>
    <row r="18" spans="1:7" x14ac:dyDescent="0.25">
      <c r="B18" s="251" t="s">
        <v>270</v>
      </c>
      <c r="C18" s="74" t="s">
        <v>271</v>
      </c>
      <c r="D18" s="81" t="s">
        <v>272</v>
      </c>
      <c r="E18" s="74" t="s">
        <v>271</v>
      </c>
      <c r="F18" s="81" t="s">
        <v>272</v>
      </c>
    </row>
    <row r="22" spans="1:7" ht="15.75" x14ac:dyDescent="0.25">
      <c r="A22" s="396" t="s">
        <v>250</v>
      </c>
      <c r="B22" s="396"/>
      <c r="C22" s="396"/>
      <c r="D22" s="396"/>
      <c r="E22" s="396"/>
      <c r="F22" s="396"/>
      <c r="G22" s="396"/>
    </row>
    <row r="23" spans="1:7" ht="45" customHeight="1" x14ac:dyDescent="0.25">
      <c r="A23" s="392" t="s">
        <v>251</v>
      </c>
      <c r="B23" s="397" t="s">
        <v>273</v>
      </c>
      <c r="C23" s="397"/>
      <c r="D23" s="398" t="s">
        <v>274</v>
      </c>
      <c r="E23" s="398"/>
      <c r="F23" s="397" t="s">
        <v>275</v>
      </c>
      <c r="G23" s="397"/>
    </row>
    <row r="24" spans="1:7" x14ac:dyDescent="0.25">
      <c r="A24" s="393"/>
      <c r="B24" s="385" t="s">
        <v>252</v>
      </c>
      <c r="C24" s="385"/>
      <c r="D24" s="385" t="s">
        <v>252</v>
      </c>
      <c r="E24" s="385"/>
      <c r="F24" s="385" t="s">
        <v>252</v>
      </c>
      <c r="G24" s="385"/>
    </row>
    <row r="25" spans="1:7" x14ac:dyDescent="0.25">
      <c r="A25" s="69" t="s">
        <v>253</v>
      </c>
      <c r="B25" s="72" t="s">
        <v>254</v>
      </c>
      <c r="C25" s="76" t="s">
        <v>255</v>
      </c>
      <c r="D25" s="72" t="s">
        <v>253</v>
      </c>
      <c r="E25" s="76" t="s">
        <v>276</v>
      </c>
      <c r="F25" s="72" t="s">
        <v>254</v>
      </c>
      <c r="G25" s="76" t="s">
        <v>263</v>
      </c>
    </row>
    <row r="26" spans="1:7" x14ac:dyDescent="0.25">
      <c r="A26" s="70" t="s">
        <v>254</v>
      </c>
      <c r="B26" s="73" t="s">
        <v>256</v>
      </c>
      <c r="C26" s="77" t="s">
        <v>257</v>
      </c>
      <c r="D26" s="73" t="s">
        <v>254</v>
      </c>
      <c r="E26" s="77" t="s">
        <v>277</v>
      </c>
      <c r="F26" s="73" t="s">
        <v>256</v>
      </c>
      <c r="G26" s="77" t="s">
        <v>257</v>
      </c>
    </row>
    <row r="27" spans="1:7" x14ac:dyDescent="0.25">
      <c r="A27" s="70" t="s">
        <v>256</v>
      </c>
      <c r="B27" s="73" t="s">
        <v>258</v>
      </c>
      <c r="C27" s="77" t="s">
        <v>259</v>
      </c>
      <c r="D27" s="73" t="s">
        <v>256</v>
      </c>
      <c r="E27" s="77" t="s">
        <v>277</v>
      </c>
      <c r="F27" s="73" t="s">
        <v>258</v>
      </c>
      <c r="G27" s="77" t="s">
        <v>278</v>
      </c>
    </row>
    <row r="28" spans="1:7" x14ac:dyDescent="0.25">
      <c r="A28" s="70" t="s">
        <v>258</v>
      </c>
      <c r="B28" s="73" t="s">
        <v>260</v>
      </c>
      <c r="C28" s="77" t="s">
        <v>261</v>
      </c>
      <c r="D28" s="73" t="s">
        <v>258</v>
      </c>
      <c r="E28" s="77" t="s">
        <v>279</v>
      </c>
      <c r="F28" s="73" t="s">
        <v>260</v>
      </c>
      <c r="G28" s="77" t="s">
        <v>257</v>
      </c>
    </row>
    <row r="29" spans="1:7" x14ac:dyDescent="0.25">
      <c r="A29" s="70" t="s">
        <v>260</v>
      </c>
      <c r="B29" s="73" t="s">
        <v>262</v>
      </c>
      <c r="C29" s="77" t="s">
        <v>263</v>
      </c>
      <c r="D29" s="73" t="s">
        <v>260</v>
      </c>
      <c r="E29" s="77" t="s">
        <v>280</v>
      </c>
      <c r="F29" s="73" t="s">
        <v>262</v>
      </c>
      <c r="G29" s="77" t="s">
        <v>278</v>
      </c>
    </row>
    <row r="30" spans="1:7" x14ac:dyDescent="0.25">
      <c r="A30" s="70" t="s">
        <v>262</v>
      </c>
      <c r="B30" s="73" t="s">
        <v>264</v>
      </c>
      <c r="C30" s="77" t="s">
        <v>259</v>
      </c>
      <c r="D30" s="73" t="s">
        <v>262</v>
      </c>
      <c r="E30" s="77" t="s">
        <v>277</v>
      </c>
      <c r="F30" s="73" t="s">
        <v>264</v>
      </c>
      <c r="G30" s="77" t="s">
        <v>278</v>
      </c>
    </row>
    <row r="31" spans="1:7" x14ac:dyDescent="0.25">
      <c r="A31" s="70" t="s">
        <v>264</v>
      </c>
      <c r="B31" s="73" t="s">
        <v>265</v>
      </c>
      <c r="C31" s="77" t="s">
        <v>266</v>
      </c>
      <c r="D31" s="73" t="s">
        <v>264</v>
      </c>
      <c r="E31" s="77" t="s">
        <v>279</v>
      </c>
      <c r="F31" s="73" t="s">
        <v>265</v>
      </c>
      <c r="G31" s="77" t="s">
        <v>263</v>
      </c>
    </row>
    <row r="32" spans="1:7" x14ac:dyDescent="0.25">
      <c r="A32" s="70" t="s">
        <v>265</v>
      </c>
      <c r="B32" s="73" t="s">
        <v>267</v>
      </c>
      <c r="C32" s="77" t="s">
        <v>259</v>
      </c>
      <c r="D32" s="73" t="s">
        <v>265</v>
      </c>
      <c r="E32" s="77" t="s">
        <v>277</v>
      </c>
      <c r="F32" s="73" t="s">
        <v>267</v>
      </c>
      <c r="G32" s="77" t="s">
        <v>278</v>
      </c>
    </row>
    <row r="33" spans="1:7" x14ac:dyDescent="0.25">
      <c r="A33" s="70" t="s">
        <v>267</v>
      </c>
      <c r="B33" s="73" t="s">
        <v>268</v>
      </c>
      <c r="C33" s="77" t="s">
        <v>259</v>
      </c>
      <c r="D33" s="73" t="s">
        <v>267</v>
      </c>
      <c r="E33" s="77" t="s">
        <v>276</v>
      </c>
      <c r="F33" s="73" t="s">
        <v>268</v>
      </c>
      <c r="G33" s="77" t="s">
        <v>281</v>
      </c>
    </row>
    <row r="34" spans="1:7" x14ac:dyDescent="0.25">
      <c r="A34" s="70" t="s">
        <v>268</v>
      </c>
      <c r="B34" s="73" t="s">
        <v>269</v>
      </c>
      <c r="C34" s="77" t="s">
        <v>259</v>
      </c>
      <c r="D34" s="73" t="s">
        <v>268</v>
      </c>
      <c r="E34" s="77" t="s">
        <v>276</v>
      </c>
      <c r="F34" s="73" t="s">
        <v>269</v>
      </c>
      <c r="G34" s="77" t="s">
        <v>263</v>
      </c>
    </row>
    <row r="35" spans="1:7" x14ac:dyDescent="0.25">
      <c r="A35" s="70" t="s">
        <v>269</v>
      </c>
      <c r="B35" s="73" t="s">
        <v>270</v>
      </c>
      <c r="C35" s="77" t="s">
        <v>259</v>
      </c>
      <c r="D35" s="73" t="s">
        <v>269</v>
      </c>
      <c r="E35" s="77" t="s">
        <v>277</v>
      </c>
      <c r="F35" s="73" t="s">
        <v>270</v>
      </c>
      <c r="G35" s="77" t="s">
        <v>282</v>
      </c>
    </row>
    <row r="36" spans="1:7" x14ac:dyDescent="0.25">
      <c r="A36" s="71" t="s">
        <v>270</v>
      </c>
      <c r="B36" s="74" t="s">
        <v>271</v>
      </c>
      <c r="C36" s="78" t="s">
        <v>272</v>
      </c>
      <c r="D36" s="75" t="s">
        <v>270</v>
      </c>
      <c r="E36" s="78" t="s">
        <v>276</v>
      </c>
      <c r="F36" s="74" t="s">
        <v>270</v>
      </c>
      <c r="G36" s="78" t="s">
        <v>283</v>
      </c>
    </row>
  </sheetData>
  <mergeCells count="12">
    <mergeCell ref="B24:C24"/>
    <mergeCell ref="D24:E24"/>
    <mergeCell ref="F24:G24"/>
    <mergeCell ref="B3:F4"/>
    <mergeCell ref="A23:A24"/>
    <mergeCell ref="C5:D5"/>
    <mergeCell ref="A22:G22"/>
    <mergeCell ref="B23:C23"/>
    <mergeCell ref="D23:E23"/>
    <mergeCell ref="F23:G23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25:C36 E25:E36 G25:G36 D7:D18 F7:F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/>
  </sheetViews>
  <sheetFormatPr baseColWidth="10" defaultColWidth="11.42578125" defaultRowHeight="15" x14ac:dyDescent="0.25"/>
  <sheetData>
    <row r="2" spans="1:7" ht="35.1" customHeight="1" x14ac:dyDescent="0.25">
      <c r="A2" s="403" t="s">
        <v>250</v>
      </c>
      <c r="B2" s="403"/>
      <c r="C2" s="403"/>
      <c r="D2" s="403"/>
      <c r="E2" s="403"/>
      <c r="F2" s="403"/>
      <c r="G2" s="403"/>
    </row>
    <row r="3" spans="1:7" ht="61.5" customHeight="1" x14ac:dyDescent="0.25">
      <c r="A3" s="281" t="s">
        <v>251</v>
      </c>
      <c r="B3" s="397" t="s">
        <v>284</v>
      </c>
      <c r="C3" s="397"/>
      <c r="D3" s="404" t="s">
        <v>285</v>
      </c>
      <c r="E3" s="404"/>
      <c r="F3" s="397" t="s">
        <v>286</v>
      </c>
      <c r="G3" s="397"/>
    </row>
    <row r="4" spans="1:7" x14ac:dyDescent="0.25">
      <c r="A4" s="3"/>
      <c r="B4" s="385" t="s">
        <v>252</v>
      </c>
      <c r="C4" s="385"/>
      <c r="D4" s="385" t="s">
        <v>252</v>
      </c>
      <c r="E4" s="385"/>
      <c r="F4" s="385" t="s">
        <v>252</v>
      </c>
      <c r="G4" s="385"/>
    </row>
    <row r="5" spans="1:7" x14ac:dyDescent="0.25">
      <c r="A5" s="69" t="s">
        <v>253</v>
      </c>
      <c r="B5" s="72" t="s">
        <v>253</v>
      </c>
      <c r="C5" s="76" t="s">
        <v>287</v>
      </c>
      <c r="D5" s="72" t="s">
        <v>254</v>
      </c>
      <c r="E5" s="76" t="s">
        <v>263</v>
      </c>
      <c r="F5" s="72" t="s">
        <v>254</v>
      </c>
      <c r="G5" s="76" t="s">
        <v>288</v>
      </c>
    </row>
    <row r="6" spans="1:7" x14ac:dyDescent="0.25">
      <c r="A6" s="70" t="s">
        <v>254</v>
      </c>
      <c r="B6" s="73" t="s">
        <v>254</v>
      </c>
      <c r="C6" s="77" t="s">
        <v>277</v>
      </c>
      <c r="D6" s="73" t="s">
        <v>256</v>
      </c>
      <c r="E6" s="77" t="s">
        <v>263</v>
      </c>
      <c r="F6" s="73" t="s">
        <v>256</v>
      </c>
      <c r="G6" s="77" t="s">
        <v>288</v>
      </c>
    </row>
    <row r="7" spans="1:7" x14ac:dyDescent="0.25">
      <c r="A7" s="70" t="s">
        <v>256</v>
      </c>
      <c r="B7" s="73" t="s">
        <v>256</v>
      </c>
      <c r="C7" s="77" t="s">
        <v>277</v>
      </c>
      <c r="D7" s="73" t="s">
        <v>258</v>
      </c>
      <c r="E7" s="77" t="s">
        <v>278</v>
      </c>
      <c r="F7" s="73" t="s">
        <v>258</v>
      </c>
      <c r="G7" s="77" t="s">
        <v>280</v>
      </c>
    </row>
    <row r="8" spans="1:7" x14ac:dyDescent="0.25">
      <c r="A8" s="70" t="s">
        <v>258</v>
      </c>
      <c r="B8" s="73" t="s">
        <v>258</v>
      </c>
      <c r="C8" s="77" t="s">
        <v>279</v>
      </c>
      <c r="D8" s="73" t="s">
        <v>260</v>
      </c>
      <c r="E8" s="77" t="s">
        <v>257</v>
      </c>
      <c r="F8" s="73" t="s">
        <v>260</v>
      </c>
      <c r="G8" s="77" t="s">
        <v>277</v>
      </c>
    </row>
    <row r="9" spans="1:7" x14ac:dyDescent="0.25">
      <c r="A9" s="70" t="s">
        <v>260</v>
      </c>
      <c r="B9" s="73" t="s">
        <v>260</v>
      </c>
      <c r="C9" s="77" t="s">
        <v>280</v>
      </c>
      <c r="D9" s="73" t="s">
        <v>262</v>
      </c>
      <c r="E9" s="77" t="s">
        <v>278</v>
      </c>
      <c r="F9" s="73" t="s">
        <v>262</v>
      </c>
      <c r="G9" s="77" t="s">
        <v>277</v>
      </c>
    </row>
    <row r="10" spans="1:7" x14ac:dyDescent="0.25">
      <c r="A10" s="70" t="s">
        <v>262</v>
      </c>
      <c r="B10" s="73" t="s">
        <v>262</v>
      </c>
      <c r="C10" s="77" t="s">
        <v>277</v>
      </c>
      <c r="D10" s="73" t="s">
        <v>264</v>
      </c>
      <c r="E10" s="77" t="s">
        <v>278</v>
      </c>
      <c r="F10" s="73" t="s">
        <v>264</v>
      </c>
      <c r="G10" s="77" t="s">
        <v>280</v>
      </c>
    </row>
    <row r="11" spans="1:7" x14ac:dyDescent="0.25">
      <c r="A11" s="70" t="s">
        <v>264</v>
      </c>
      <c r="B11" s="73" t="s">
        <v>264</v>
      </c>
      <c r="C11" s="77" t="s">
        <v>279</v>
      </c>
      <c r="D11" s="73" t="s">
        <v>265</v>
      </c>
      <c r="E11" s="77" t="s">
        <v>257</v>
      </c>
      <c r="F11" s="73" t="s">
        <v>265</v>
      </c>
      <c r="G11" s="77" t="s">
        <v>277</v>
      </c>
    </row>
    <row r="12" spans="1:7" x14ac:dyDescent="0.25">
      <c r="A12" s="70" t="s">
        <v>265</v>
      </c>
      <c r="B12" s="73" t="s">
        <v>265</v>
      </c>
      <c r="C12" s="77" t="s">
        <v>277</v>
      </c>
      <c r="D12" s="73" t="s">
        <v>267</v>
      </c>
      <c r="E12" s="77" t="s">
        <v>278</v>
      </c>
      <c r="F12" s="73" t="s">
        <v>267</v>
      </c>
      <c r="G12" s="77" t="s">
        <v>276</v>
      </c>
    </row>
    <row r="13" spans="1:7" x14ac:dyDescent="0.25">
      <c r="A13" s="70" t="s">
        <v>267</v>
      </c>
      <c r="B13" s="73" t="s">
        <v>267</v>
      </c>
      <c r="C13" s="77" t="s">
        <v>276</v>
      </c>
      <c r="D13" s="73" t="s">
        <v>268</v>
      </c>
      <c r="E13" s="77" t="s">
        <v>281</v>
      </c>
      <c r="F13" s="73" t="s">
        <v>268</v>
      </c>
      <c r="G13" s="77" t="s">
        <v>277</v>
      </c>
    </row>
    <row r="14" spans="1:7" x14ac:dyDescent="0.25">
      <c r="A14" s="70" t="s">
        <v>268</v>
      </c>
      <c r="B14" s="73" t="s">
        <v>268</v>
      </c>
      <c r="C14" s="77" t="s">
        <v>276</v>
      </c>
      <c r="D14" s="73" t="s">
        <v>269</v>
      </c>
      <c r="E14" s="77" t="s">
        <v>263</v>
      </c>
      <c r="F14" s="73" t="s">
        <v>269</v>
      </c>
      <c r="G14" s="77" t="s">
        <v>277</v>
      </c>
    </row>
    <row r="15" spans="1:7" x14ac:dyDescent="0.25">
      <c r="A15" s="70" t="s">
        <v>269</v>
      </c>
      <c r="B15" s="73" t="s">
        <v>269</v>
      </c>
      <c r="C15" s="77" t="s">
        <v>277</v>
      </c>
      <c r="D15" s="73" t="s">
        <v>270</v>
      </c>
      <c r="E15" s="77" t="s">
        <v>282</v>
      </c>
      <c r="F15" s="73" t="s">
        <v>270</v>
      </c>
      <c r="G15" s="77" t="s">
        <v>276</v>
      </c>
    </row>
    <row r="16" spans="1:7" x14ac:dyDescent="0.25">
      <c r="A16" s="71" t="s">
        <v>270</v>
      </c>
      <c r="B16" s="75" t="s">
        <v>270</v>
      </c>
      <c r="C16" s="78" t="s">
        <v>276</v>
      </c>
      <c r="D16" s="74" t="s">
        <v>270</v>
      </c>
      <c r="E16" s="78" t="s">
        <v>283</v>
      </c>
      <c r="F16" s="74" t="s">
        <v>270</v>
      </c>
      <c r="G16" s="78" t="s">
        <v>288</v>
      </c>
    </row>
  </sheetData>
  <mergeCells count="7">
    <mergeCell ref="A2:G2"/>
    <mergeCell ref="B3:C3"/>
    <mergeCell ref="D3:E3"/>
    <mergeCell ref="F3:G3"/>
    <mergeCell ref="B4:C4"/>
    <mergeCell ref="D4:E4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5:C16 E5:E13 G5:G16 E14:E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3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18.28515625" style="82" customWidth="1"/>
    <col min="2" max="2" width="11.7109375" style="82" customWidth="1"/>
    <col min="3" max="3" width="11.7109375" style="82" bestFit="1" customWidth="1"/>
    <col min="4" max="4" width="12.7109375" style="82" hidden="1" customWidth="1"/>
    <col min="5" max="5" width="10" style="82" customWidth="1"/>
    <col min="6" max="6" width="13" style="82" bestFit="1" customWidth="1"/>
    <col min="7" max="7" width="11.5703125" style="82" bestFit="1" customWidth="1"/>
    <col min="8" max="8" width="11.7109375" style="83" bestFit="1" customWidth="1"/>
    <col min="9" max="9" width="17.85546875" style="82" customWidth="1"/>
    <col min="10" max="10" width="14.5703125" style="82" customWidth="1"/>
    <col min="11" max="11" width="11.5703125" style="82" bestFit="1" customWidth="1"/>
    <col min="12" max="12" width="15" style="82" customWidth="1"/>
    <col min="13" max="13" width="15.42578125" style="82" hidden="1" customWidth="1"/>
    <col min="14" max="16" width="14.42578125" style="82" hidden="1" customWidth="1"/>
    <col min="17" max="17" width="15.85546875" style="82" bestFit="1" customWidth="1"/>
    <col min="18" max="18" width="12.85546875" style="82" bestFit="1" customWidth="1"/>
    <col min="19" max="19" width="13.42578125" style="82" customWidth="1"/>
    <col min="20" max="16384" width="11.42578125" style="82"/>
  </cols>
  <sheetData>
    <row r="2" spans="1:22" x14ac:dyDescent="0.2">
      <c r="S2" s="274" t="s">
        <v>70</v>
      </c>
    </row>
    <row r="3" spans="1:22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22" x14ac:dyDescent="0.2">
      <c r="A4" s="308" t="s">
        <v>71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</row>
    <row r="5" spans="1:22" x14ac:dyDescent="0.2">
      <c r="A5" s="260"/>
      <c r="B5" s="260"/>
      <c r="C5" s="260"/>
      <c r="D5" s="260"/>
      <c r="E5" s="260"/>
      <c r="F5" s="260"/>
      <c r="G5" s="260"/>
      <c r="H5" s="260"/>
      <c r="I5" s="83"/>
    </row>
    <row r="6" spans="1:22" ht="26.25" customHeight="1" x14ac:dyDescent="0.2">
      <c r="A6" s="309" t="s">
        <v>72</v>
      </c>
      <c r="B6" s="312" t="s">
        <v>73</v>
      </c>
      <c r="C6" s="134"/>
      <c r="D6" s="137"/>
      <c r="E6" s="314" t="s">
        <v>74</v>
      </c>
      <c r="F6" s="315"/>
      <c r="G6" s="315"/>
      <c r="H6" s="316"/>
      <c r="I6" s="284" t="s">
        <v>13</v>
      </c>
      <c r="J6" s="317"/>
      <c r="K6" s="317"/>
      <c r="L6" s="285"/>
      <c r="M6" s="318" t="s">
        <v>14</v>
      </c>
      <c r="N6" s="284" t="s">
        <v>15</v>
      </c>
      <c r="O6" s="317"/>
      <c r="P6" s="317"/>
      <c r="Q6" s="317"/>
      <c r="R6" s="285"/>
      <c r="S6" s="294" t="s">
        <v>75</v>
      </c>
    </row>
    <row r="7" spans="1:22" ht="15" customHeight="1" x14ac:dyDescent="0.2">
      <c r="A7" s="310"/>
      <c r="B7" s="313"/>
      <c r="C7" s="91" t="s">
        <v>19</v>
      </c>
      <c r="D7" s="323" t="s">
        <v>20</v>
      </c>
      <c r="E7" s="324"/>
      <c r="F7" s="277" t="s">
        <v>21</v>
      </c>
      <c r="G7" s="91" t="s">
        <v>22</v>
      </c>
      <c r="H7" s="138" t="s">
        <v>76</v>
      </c>
      <c r="I7" s="325" t="s">
        <v>77</v>
      </c>
      <c r="J7" s="289" t="s">
        <v>78</v>
      </c>
      <c r="K7" s="91" t="s">
        <v>22</v>
      </c>
      <c r="L7" s="288" t="s">
        <v>79</v>
      </c>
      <c r="M7" s="319"/>
      <c r="N7" s="326" t="s">
        <v>27</v>
      </c>
      <c r="O7" s="262"/>
      <c r="P7" s="262"/>
      <c r="Q7" s="142" t="s">
        <v>21</v>
      </c>
      <c r="R7" s="142" t="s">
        <v>28</v>
      </c>
      <c r="S7" s="321"/>
    </row>
    <row r="8" spans="1:22" x14ac:dyDescent="0.2">
      <c r="A8" s="310"/>
      <c r="B8" s="313"/>
      <c r="C8" s="91" t="s">
        <v>30</v>
      </c>
      <c r="D8" s="329">
        <v>2010</v>
      </c>
      <c r="E8" s="324"/>
      <c r="F8" s="277" t="s">
        <v>31</v>
      </c>
      <c r="G8" s="91" t="s">
        <v>32</v>
      </c>
      <c r="H8" s="138" t="s">
        <v>33</v>
      </c>
      <c r="I8" s="325"/>
      <c r="J8" s="289"/>
      <c r="K8" s="91" t="s">
        <v>32</v>
      </c>
      <c r="L8" s="289"/>
      <c r="M8" s="319"/>
      <c r="N8" s="327"/>
      <c r="O8" s="263"/>
      <c r="P8" s="263"/>
      <c r="Q8" s="91" t="s">
        <v>80</v>
      </c>
      <c r="R8" s="91" t="s">
        <v>35</v>
      </c>
      <c r="S8" s="321"/>
    </row>
    <row r="9" spans="1:22" x14ac:dyDescent="0.2">
      <c r="A9" s="310"/>
      <c r="B9" s="132">
        <v>2014</v>
      </c>
      <c r="C9" s="135" t="s">
        <v>37</v>
      </c>
      <c r="D9" s="91" t="s">
        <v>38</v>
      </c>
      <c r="E9" s="91" t="s">
        <v>39</v>
      </c>
      <c r="F9" s="277" t="s">
        <v>81</v>
      </c>
      <c r="G9" s="140">
        <v>0.6</v>
      </c>
      <c r="H9" s="139">
        <v>0.6</v>
      </c>
      <c r="I9" s="91" t="s">
        <v>41</v>
      </c>
      <c r="J9" s="91"/>
      <c r="K9" s="140">
        <v>0.3</v>
      </c>
      <c r="L9" s="140">
        <v>0.3</v>
      </c>
      <c r="M9" s="319"/>
      <c r="N9" s="327"/>
      <c r="O9" s="263"/>
      <c r="P9" s="263"/>
      <c r="Q9" s="91" t="s">
        <v>43</v>
      </c>
      <c r="R9" s="91" t="s">
        <v>44</v>
      </c>
      <c r="S9" s="321"/>
    </row>
    <row r="10" spans="1:22" x14ac:dyDescent="0.2">
      <c r="A10" s="311"/>
      <c r="B10" s="133" t="s">
        <v>82</v>
      </c>
      <c r="C10" s="136" t="s">
        <v>83</v>
      </c>
      <c r="D10" s="133" t="s">
        <v>84</v>
      </c>
      <c r="E10" s="133" t="s">
        <v>85</v>
      </c>
      <c r="F10" s="136" t="s">
        <v>86</v>
      </c>
      <c r="G10" s="133" t="s">
        <v>87</v>
      </c>
      <c r="H10" s="141" t="s">
        <v>88</v>
      </c>
      <c r="I10" s="133" t="s">
        <v>89</v>
      </c>
      <c r="J10" s="95" t="s">
        <v>90</v>
      </c>
      <c r="K10" s="133" t="s">
        <v>91</v>
      </c>
      <c r="L10" s="133" t="s">
        <v>92</v>
      </c>
      <c r="M10" s="320"/>
      <c r="N10" s="328"/>
      <c r="O10" s="264"/>
      <c r="P10" s="264"/>
      <c r="Q10" s="133" t="s">
        <v>93</v>
      </c>
      <c r="R10" s="133" t="s">
        <v>94</v>
      </c>
      <c r="S10" s="322"/>
      <c r="V10" s="127"/>
    </row>
    <row r="11" spans="1:22" x14ac:dyDescent="0.2">
      <c r="A11" s="128" t="s">
        <v>46</v>
      </c>
      <c r="B11" s="100">
        <v>3.62</v>
      </c>
      <c r="C11" s="129">
        <f>[1]Datos!I$13*B11%</f>
        <v>35350314.182820007</v>
      </c>
      <c r="D11" s="102">
        <f>E11/E$31*100</f>
        <v>3.3707564846877225</v>
      </c>
      <c r="E11" s="103">
        <v>36572</v>
      </c>
      <c r="F11" s="104">
        <f>D11</f>
        <v>3.3707564846877225</v>
      </c>
      <c r="G11" s="104">
        <f>F11*0.6</f>
        <v>2.0224538908126335</v>
      </c>
      <c r="H11" s="130">
        <f>[1]Datos!$K$18*'[1]FGP total'!H11/100</f>
        <v>1352039.4259745858</v>
      </c>
      <c r="I11" s="102">
        <v>1.210777</v>
      </c>
      <c r="J11" s="102">
        <f>I11/$I$31*100</f>
        <v>5.6616379474610792</v>
      </c>
      <c r="K11" s="102">
        <f>J11*0.3</f>
        <v>1.6984913842383238</v>
      </c>
      <c r="L11" s="103">
        <f>[1]Datos!$K$18*'[1]FGP total'!L11/100</f>
        <v>1135465.8450312777</v>
      </c>
      <c r="M11" s="106">
        <f>H11+L11</f>
        <v>2487505.2710058633</v>
      </c>
      <c r="N11" s="102">
        <f>K11+G11</f>
        <v>3.7209452750509575</v>
      </c>
      <c r="O11" s="102">
        <f>1/N11</f>
        <v>0.26874891353684455</v>
      </c>
      <c r="P11" s="102">
        <f>O11/$O$31*100</f>
        <v>4.2169783378374488</v>
      </c>
      <c r="Q11" s="102">
        <f>P11*0.1</f>
        <v>0.42169783378374492</v>
      </c>
      <c r="R11" s="103">
        <f>Q11*[1]Datos!$K$18/100</f>
        <v>281911.04860967206</v>
      </c>
      <c r="S11" s="106">
        <f>C11+H11+L11+R11</f>
        <v>38119730.502435543</v>
      </c>
      <c r="V11" s="127"/>
    </row>
    <row r="12" spans="1:22" x14ac:dyDescent="0.2">
      <c r="A12" s="131" t="s">
        <v>47</v>
      </c>
      <c r="B12" s="100">
        <v>2.4700000000000002</v>
      </c>
      <c r="C12" s="129">
        <f>[1]Datos!I$13*B12%</f>
        <v>24120241.997670002</v>
      </c>
      <c r="D12" s="102">
        <f t="shared" ref="D12:D30" si="0">E12/E$31*100</f>
        <v>1.4036216369164749</v>
      </c>
      <c r="E12" s="112">
        <v>15229</v>
      </c>
      <c r="F12" s="104">
        <f t="shared" ref="F12:F31" si="1">D12</f>
        <v>1.4036216369164749</v>
      </c>
      <c r="G12" s="104">
        <f t="shared" ref="G12:G30" si="2">F12*0.6</f>
        <v>0.8421729821498849</v>
      </c>
      <c r="H12" s="130">
        <f>[1]Datos!$K$18*'[1]FGP total'!H12/100</f>
        <v>563004.71448558907</v>
      </c>
      <c r="I12" s="102">
        <v>1.1581699999999999</v>
      </c>
      <c r="J12" s="102">
        <f t="shared" ref="J12:J30" si="3">I12/$I$31*100</f>
        <v>5.4156456734898315</v>
      </c>
      <c r="K12" s="102">
        <f t="shared" ref="K12:K30" si="4">J12*0.3</f>
        <v>1.6246937020469494</v>
      </c>
      <c r="L12" s="103">
        <f>[1]Datos!$K$18*'[1]FGP total'!L12/100</f>
        <v>1086131.0363013791</v>
      </c>
      <c r="M12" s="106">
        <f t="shared" ref="M12:M31" si="5">H12+L12</f>
        <v>1649135.750786968</v>
      </c>
      <c r="N12" s="102">
        <f t="shared" ref="N12:N30" si="6">K12+G12</f>
        <v>2.4668666841968343</v>
      </c>
      <c r="O12" s="102">
        <f t="shared" ref="O12:O30" si="7">1/N12</f>
        <v>0.40537253448115756</v>
      </c>
      <c r="P12" s="102">
        <f t="shared" ref="P12:P30" si="8">O12/$O$31*100</f>
        <v>6.3607594693659895</v>
      </c>
      <c r="Q12" s="102">
        <f t="shared" ref="Q12:Q30" si="9">P12*0.1</f>
        <v>0.63607594693659897</v>
      </c>
      <c r="R12" s="103">
        <f>Q12*[1]Datos!$K$18/100</f>
        <v>425225.89122011943</v>
      </c>
      <c r="S12" s="106">
        <f t="shared" ref="S12:S30" si="10">C12+H12+L12+R12</f>
        <v>26194603.639677089</v>
      </c>
      <c r="V12" s="127"/>
    </row>
    <row r="13" spans="1:22" x14ac:dyDescent="0.2">
      <c r="A13" s="131" t="s">
        <v>48</v>
      </c>
      <c r="B13" s="100">
        <v>2.33</v>
      </c>
      <c r="C13" s="129">
        <f>[1]Datos!I$13*B13%</f>
        <v>22753102.77513</v>
      </c>
      <c r="D13" s="102">
        <f t="shared" si="0"/>
        <v>1.0311720319010782</v>
      </c>
      <c r="E13" s="103">
        <v>11188</v>
      </c>
      <c r="F13" s="104">
        <f t="shared" si="1"/>
        <v>1.0311720319010782</v>
      </c>
      <c r="G13" s="104">
        <f t="shared" si="2"/>
        <v>0.61870321914064685</v>
      </c>
      <c r="H13" s="130">
        <f>[1]Datos!$K$18*'[1]FGP total'!H13/100</f>
        <v>413611.97358098166</v>
      </c>
      <c r="I13" s="102">
        <v>1.096811</v>
      </c>
      <c r="J13" s="102">
        <f t="shared" si="3"/>
        <v>5.1287287244411921</v>
      </c>
      <c r="K13" s="102">
        <f t="shared" si="4"/>
        <v>1.5386186173323575</v>
      </c>
      <c r="L13" s="103">
        <f>[1]Datos!$K$18*'[1]FGP total'!L13/100</f>
        <v>1028588.6079390348</v>
      </c>
      <c r="M13" s="106">
        <f t="shared" si="5"/>
        <v>1442200.5815200165</v>
      </c>
      <c r="N13" s="102">
        <f t="shared" si="6"/>
        <v>2.1573218364730042</v>
      </c>
      <c r="O13" s="102">
        <f t="shared" si="7"/>
        <v>0.46353769896238362</v>
      </c>
      <c r="P13" s="102">
        <f t="shared" si="8"/>
        <v>7.2734375353201246</v>
      </c>
      <c r="Q13" s="102">
        <f t="shared" si="9"/>
        <v>0.72734375353201253</v>
      </c>
      <c r="R13" s="103">
        <f>Q13*[1]Datos!$K$18/100</f>
        <v>486239.72861823224</v>
      </c>
      <c r="S13" s="106">
        <f t="shared" si="10"/>
        <v>24681543.085268248</v>
      </c>
      <c r="V13" s="127"/>
    </row>
    <row r="14" spans="1:22" x14ac:dyDescent="0.2">
      <c r="A14" s="131" t="s">
        <v>49</v>
      </c>
      <c r="B14" s="100">
        <v>2.81</v>
      </c>
      <c r="C14" s="129">
        <f>[1]Datos!I$13*B14%</f>
        <v>27440437.252410002</v>
      </c>
      <c r="D14" s="102">
        <f t="shared" si="0"/>
        <v>11.447687005923617</v>
      </c>
      <c r="E14" s="103">
        <v>124205</v>
      </c>
      <c r="F14" s="104">
        <f t="shared" si="1"/>
        <v>11.447687005923617</v>
      </c>
      <c r="G14" s="104">
        <f t="shared" si="2"/>
        <v>6.8686122035541706</v>
      </c>
      <c r="H14" s="130">
        <f>[1]Datos!$K$18*'[1]FGP total'!H14/100</f>
        <v>4591765.7471063491</v>
      </c>
      <c r="I14" s="102">
        <v>0.95977000000000001</v>
      </c>
      <c r="J14" s="102">
        <f t="shared" si="3"/>
        <v>4.4879199496147679</v>
      </c>
      <c r="K14" s="102">
        <f t="shared" si="4"/>
        <v>1.3463759848844303</v>
      </c>
      <c r="L14" s="103">
        <f>[1]Datos!$K$18*'[1]FGP total'!L14/100</f>
        <v>900071.65158048877</v>
      </c>
      <c r="M14" s="106">
        <f t="shared" si="5"/>
        <v>5491837.3986868374</v>
      </c>
      <c r="N14" s="102">
        <f t="shared" si="6"/>
        <v>8.2149881884386016</v>
      </c>
      <c r="O14" s="102">
        <f t="shared" si="7"/>
        <v>0.12172872036594699</v>
      </c>
      <c r="P14" s="102">
        <f t="shared" si="8"/>
        <v>1.9100630775405734</v>
      </c>
      <c r="Q14" s="102">
        <f t="shared" si="9"/>
        <v>0.19100630775405736</v>
      </c>
      <c r="R14" s="103">
        <f>Q14*[1]Datos!$K$18/100</f>
        <v>127690.45557303421</v>
      </c>
      <c r="S14" s="106">
        <f t="shared" si="10"/>
        <v>33059965.106669877</v>
      </c>
      <c r="V14" s="127"/>
    </row>
    <row r="15" spans="1:22" x14ac:dyDescent="0.2">
      <c r="A15" s="131" t="s">
        <v>50</v>
      </c>
      <c r="B15" s="100">
        <v>4.6399999999999997</v>
      </c>
      <c r="C15" s="129">
        <f>[1]Datos!I$13*B15%</f>
        <v>45310899.947039999</v>
      </c>
      <c r="D15" s="102">
        <f t="shared" si="0"/>
        <v>6.4885126808905982</v>
      </c>
      <c r="E15" s="103">
        <v>70399</v>
      </c>
      <c r="F15" s="104">
        <f t="shared" si="1"/>
        <v>6.4885126808905982</v>
      </c>
      <c r="G15" s="104">
        <f t="shared" si="2"/>
        <v>3.8931076085343586</v>
      </c>
      <c r="H15" s="130">
        <f>[1]Datos!$K$18*'[1]FGP total'!H15/100</f>
        <v>2602598.259575217</v>
      </c>
      <c r="I15" s="102">
        <v>0.95178300000000005</v>
      </c>
      <c r="J15" s="102">
        <f t="shared" si="3"/>
        <v>4.4505724427771165</v>
      </c>
      <c r="K15" s="102">
        <f t="shared" si="4"/>
        <v>1.3351717328331349</v>
      </c>
      <c r="L15" s="103">
        <f>[1]Datos!$K$18*'[1]FGP total'!L15/100</f>
        <v>892581.44842642767</v>
      </c>
      <c r="M15" s="106">
        <f t="shared" si="5"/>
        <v>3495179.7080016448</v>
      </c>
      <c r="N15" s="102">
        <f t="shared" si="6"/>
        <v>5.2282793413674931</v>
      </c>
      <c r="O15" s="102">
        <f t="shared" si="7"/>
        <v>0.19126751550701249</v>
      </c>
      <c r="P15" s="102">
        <f t="shared" si="8"/>
        <v>3.001206438419636</v>
      </c>
      <c r="Q15" s="102">
        <f t="shared" si="9"/>
        <v>0.30012064384196363</v>
      </c>
      <c r="R15" s="103">
        <f>Q15*[1]Datos!$K$18/100</f>
        <v>200634.95383826472</v>
      </c>
      <c r="S15" s="106">
        <f t="shared" si="10"/>
        <v>49006714.608879909</v>
      </c>
      <c r="V15" s="127"/>
    </row>
    <row r="16" spans="1:22" x14ac:dyDescent="0.2">
      <c r="A16" s="131" t="s">
        <v>51</v>
      </c>
      <c r="B16" s="100">
        <v>1.5</v>
      </c>
      <c r="C16" s="129">
        <f>[1]Datos!I$13*B16%</f>
        <v>14647920.2415</v>
      </c>
      <c r="D16" s="102">
        <f t="shared" si="0"/>
        <v>3.1613515100292262</v>
      </c>
      <c r="E16" s="103">
        <v>34300</v>
      </c>
      <c r="F16" s="104">
        <f t="shared" si="1"/>
        <v>3.1613515100292262</v>
      </c>
      <c r="G16" s="104">
        <f t="shared" si="2"/>
        <v>1.8968109060175355</v>
      </c>
      <c r="H16" s="130">
        <f>[1]Datos!$K$18*'[1]FGP total'!H16/100</f>
        <v>1268045.2890443038</v>
      </c>
      <c r="I16" s="102">
        <v>1.071404</v>
      </c>
      <c r="J16" s="102">
        <f t="shared" si="3"/>
        <v>5.0099246545495904</v>
      </c>
      <c r="K16" s="102">
        <f t="shared" si="4"/>
        <v>1.5029773963648771</v>
      </c>
      <c r="L16" s="103">
        <f>[1]Datos!$K$18*'[1]FGP total'!L16/100</f>
        <v>1004761.9406628067</v>
      </c>
      <c r="M16" s="106">
        <f t="shared" si="5"/>
        <v>2272807.2297071107</v>
      </c>
      <c r="N16" s="102">
        <f t="shared" si="6"/>
        <v>3.3997883023824125</v>
      </c>
      <c r="O16" s="102">
        <f t="shared" si="7"/>
        <v>0.29413596114182955</v>
      </c>
      <c r="P16" s="102">
        <f t="shared" si="8"/>
        <v>4.6153301986988051</v>
      </c>
      <c r="Q16" s="102">
        <f t="shared" si="9"/>
        <v>0.46153301986988055</v>
      </c>
      <c r="R16" s="103">
        <f>Q16*[1]Datos!$K$18/100</f>
        <v>308541.44170498702</v>
      </c>
      <c r="S16" s="106">
        <f t="shared" si="10"/>
        <v>17229268.912912097</v>
      </c>
      <c r="V16" s="127"/>
    </row>
    <row r="17" spans="1:22" x14ac:dyDescent="0.2">
      <c r="A17" s="131" t="s">
        <v>52</v>
      </c>
      <c r="B17" s="100">
        <v>1.53</v>
      </c>
      <c r="C17" s="129">
        <f>[1]Datos!I$13*B17%</f>
        <v>14940878.646330001</v>
      </c>
      <c r="D17" s="102">
        <f t="shared" si="0"/>
        <v>1.050711580592804</v>
      </c>
      <c r="E17" s="103">
        <v>11400</v>
      </c>
      <c r="F17" s="104">
        <f t="shared" si="1"/>
        <v>1.050711580592804</v>
      </c>
      <c r="G17" s="104">
        <f t="shared" si="2"/>
        <v>0.63042694835568236</v>
      </c>
      <c r="H17" s="130">
        <f>[1]Datos!$K$18*'[1]FGP total'!H17/100</f>
        <v>421449.45466778608</v>
      </c>
      <c r="I17" s="102">
        <v>1.737498</v>
      </c>
      <c r="J17" s="102">
        <f t="shared" si="3"/>
        <v>8.1246047872050173</v>
      </c>
      <c r="K17" s="102">
        <f t="shared" si="4"/>
        <v>2.4373814361615049</v>
      </c>
      <c r="L17" s="103">
        <f>[1]Datos!$K$18*'[1]FGP total'!L17/100</f>
        <v>1629424.4396863789</v>
      </c>
      <c r="M17" s="106">
        <f t="shared" si="5"/>
        <v>2050873.8943541651</v>
      </c>
      <c r="N17" s="102">
        <f t="shared" si="6"/>
        <v>3.0678083845171873</v>
      </c>
      <c r="O17" s="102">
        <f t="shared" si="7"/>
        <v>0.32596559975742434</v>
      </c>
      <c r="P17" s="102">
        <f t="shared" si="8"/>
        <v>5.1147736932852705</v>
      </c>
      <c r="Q17" s="102">
        <f t="shared" si="9"/>
        <v>0.51147736932852705</v>
      </c>
      <c r="R17" s="103">
        <f>Q17*[1]Datos!$K$18/100</f>
        <v>341929.95547011914</v>
      </c>
      <c r="S17" s="106">
        <f t="shared" si="10"/>
        <v>17333682.496154286</v>
      </c>
      <c r="V17" s="127"/>
    </row>
    <row r="18" spans="1:22" x14ac:dyDescent="0.2">
      <c r="A18" s="131" t="s">
        <v>53</v>
      </c>
      <c r="B18" s="100">
        <v>3.16</v>
      </c>
      <c r="C18" s="129">
        <f>[1]Datos!I$13*B18%</f>
        <v>30858285.308760002</v>
      </c>
      <c r="D18" s="102">
        <f t="shared" si="0"/>
        <v>2.5136892050445216</v>
      </c>
      <c r="E18" s="103">
        <v>27273</v>
      </c>
      <c r="F18" s="104">
        <f t="shared" si="1"/>
        <v>2.5136892050445216</v>
      </c>
      <c r="G18" s="104">
        <f t="shared" si="2"/>
        <v>1.5082135230267129</v>
      </c>
      <c r="H18" s="130">
        <f>[1]Datos!$K$18*'[1]FGP total'!H18/100</f>
        <v>1008262.3664170641</v>
      </c>
      <c r="I18" s="102">
        <v>0.789829</v>
      </c>
      <c r="J18" s="102">
        <f t="shared" si="3"/>
        <v>3.6932695602949481</v>
      </c>
      <c r="K18" s="102">
        <f t="shared" si="4"/>
        <v>1.1079808680884844</v>
      </c>
      <c r="L18" s="103">
        <f>[1]Datos!$K$18*'[1]FGP total'!L18/100</f>
        <v>740701.09765481914</v>
      </c>
      <c r="M18" s="106">
        <f t="shared" si="5"/>
        <v>1748963.4640718834</v>
      </c>
      <c r="N18" s="102">
        <f t="shared" si="6"/>
        <v>2.6161943911151972</v>
      </c>
      <c r="O18" s="102">
        <f t="shared" si="7"/>
        <v>0.38223459365102186</v>
      </c>
      <c r="P18" s="102">
        <f t="shared" si="8"/>
        <v>5.9976986704263497</v>
      </c>
      <c r="Q18" s="102">
        <f t="shared" si="9"/>
        <v>0.59976986704263502</v>
      </c>
      <c r="R18" s="103">
        <f>Q18*[1]Datos!$K$18/100</f>
        <v>400954.756218125</v>
      </c>
      <c r="S18" s="106">
        <f t="shared" si="10"/>
        <v>33008203.529050011</v>
      </c>
      <c r="V18" s="127"/>
    </row>
    <row r="19" spans="1:22" x14ac:dyDescent="0.2">
      <c r="A19" s="131" t="s">
        <v>54</v>
      </c>
      <c r="B19" s="100">
        <v>2.81</v>
      </c>
      <c r="C19" s="129">
        <f>[1]Datos!I$13*B19%</f>
        <v>27440437.252410002</v>
      </c>
      <c r="D19" s="102">
        <f t="shared" si="0"/>
        <v>1.6311836450290742</v>
      </c>
      <c r="E19" s="103">
        <v>17698</v>
      </c>
      <c r="F19" s="104">
        <f t="shared" si="1"/>
        <v>1.6311836450290742</v>
      </c>
      <c r="G19" s="104">
        <f t="shared" si="2"/>
        <v>0.9787101870174445</v>
      </c>
      <c r="H19" s="130">
        <f>[1]Datos!$K$18*'[1]FGP total'!H19/100</f>
        <v>654281.79374653322</v>
      </c>
      <c r="I19" s="102">
        <v>1.0861320000000001</v>
      </c>
      <c r="J19" s="102">
        <f t="shared" si="3"/>
        <v>5.0787933262291878</v>
      </c>
      <c r="K19" s="102">
        <f t="shared" si="4"/>
        <v>1.5236379978687562</v>
      </c>
      <c r="L19" s="103">
        <f>[1]Datos!$K$18*'[1]FGP total'!L19/100</f>
        <v>1018573.8490205148</v>
      </c>
      <c r="M19" s="106">
        <f t="shared" si="5"/>
        <v>1672855.642767048</v>
      </c>
      <c r="N19" s="102">
        <f t="shared" si="6"/>
        <v>2.5023481848862006</v>
      </c>
      <c r="O19" s="102">
        <f t="shared" si="7"/>
        <v>0.3996246429812792</v>
      </c>
      <c r="P19" s="102">
        <f t="shared" si="8"/>
        <v>6.2705684668267221</v>
      </c>
      <c r="Q19" s="102">
        <f t="shared" si="9"/>
        <v>0.62705684668267225</v>
      </c>
      <c r="R19" s="103">
        <f>Q19*[1]Datos!$K$18/100</f>
        <v>419196.49337549089</v>
      </c>
      <c r="S19" s="106">
        <f t="shared" si="10"/>
        <v>29532489.388552543</v>
      </c>
      <c r="V19" s="127"/>
    </row>
    <row r="20" spans="1:22" x14ac:dyDescent="0.2">
      <c r="A20" s="131" t="s">
        <v>55</v>
      </c>
      <c r="B20" s="100">
        <v>1.6</v>
      </c>
      <c r="C20" s="129">
        <f>[1]Datos!I$13*B20%</f>
        <v>15624448.2576</v>
      </c>
      <c r="D20" s="102">
        <f t="shared" si="0"/>
        <v>1.2534804821107137</v>
      </c>
      <c r="E20" s="103">
        <v>13600</v>
      </c>
      <c r="F20" s="104">
        <f t="shared" si="1"/>
        <v>1.2534804821107137</v>
      </c>
      <c r="G20" s="104">
        <f t="shared" si="2"/>
        <v>0.75208828926642823</v>
      </c>
      <c r="H20" s="130">
        <f>[1]Datos!$K$18*'[1]FGP total'!H20/100</f>
        <v>502781.80556858703</v>
      </c>
      <c r="I20" s="102">
        <v>0.84773799999999999</v>
      </c>
      <c r="J20" s="102">
        <f t="shared" si="3"/>
        <v>3.9640541819878972</v>
      </c>
      <c r="K20" s="102">
        <f t="shared" si="4"/>
        <v>1.1892162545963691</v>
      </c>
      <c r="L20" s="103">
        <f>[1]Datos!$K$18*'[1]FGP total'!L20/100</f>
        <v>795008.1183695473</v>
      </c>
      <c r="M20" s="106">
        <f t="shared" si="5"/>
        <v>1297789.9239381342</v>
      </c>
      <c r="N20" s="102">
        <f t="shared" si="6"/>
        <v>1.9413045438627974</v>
      </c>
      <c r="O20" s="102">
        <f t="shared" si="7"/>
        <v>0.51511752916943432</v>
      </c>
      <c r="P20" s="102">
        <f t="shared" si="8"/>
        <v>8.0827841622141037</v>
      </c>
      <c r="Q20" s="102">
        <f t="shared" si="9"/>
        <v>0.80827841622141039</v>
      </c>
      <c r="R20" s="103">
        <f>Q20*[1]Datos!$K$18/100</f>
        <v>540345.71114822302</v>
      </c>
      <c r="S20" s="106">
        <f t="shared" si="10"/>
        <v>17462583.89268636</v>
      </c>
      <c r="V20" s="127"/>
    </row>
    <row r="21" spans="1:22" x14ac:dyDescent="0.2">
      <c r="A21" s="131" t="s">
        <v>56</v>
      </c>
      <c r="B21" s="100">
        <v>2.84</v>
      </c>
      <c r="C21" s="129">
        <f>[1]Datos!I$13*B21%</f>
        <v>27733395.65724</v>
      </c>
      <c r="D21" s="102">
        <f t="shared" si="0"/>
        <v>3.1699231045024834</v>
      </c>
      <c r="E21" s="103">
        <v>34393</v>
      </c>
      <c r="F21" s="104">
        <f t="shared" si="1"/>
        <v>3.1699231045024834</v>
      </c>
      <c r="G21" s="104">
        <f t="shared" si="2"/>
        <v>1.90195386270149</v>
      </c>
      <c r="H21" s="130">
        <f>[1]Datos!$K$18*'[1]FGP total'!H21/100</f>
        <v>1271483.4293323832</v>
      </c>
      <c r="I21" s="102">
        <v>1.369108</v>
      </c>
      <c r="J21" s="102">
        <f t="shared" si="3"/>
        <v>6.4019995482013146</v>
      </c>
      <c r="K21" s="102">
        <f t="shared" si="4"/>
        <v>1.9205998644603943</v>
      </c>
      <c r="L21" s="103">
        <f>[1]Datos!$K$18*'[1]FGP total'!L21/100</f>
        <v>1283948.5488732299</v>
      </c>
      <c r="M21" s="106">
        <f t="shared" si="5"/>
        <v>2555431.9782056129</v>
      </c>
      <c r="N21" s="102">
        <f t="shared" si="6"/>
        <v>3.8225537271618846</v>
      </c>
      <c r="O21" s="102">
        <f t="shared" si="7"/>
        <v>0.26160521770938344</v>
      </c>
      <c r="P21" s="102">
        <f t="shared" si="8"/>
        <v>4.1048855663354225</v>
      </c>
      <c r="Q21" s="102">
        <f t="shared" si="9"/>
        <v>0.41048855663354228</v>
      </c>
      <c r="R21" s="103">
        <f>Q21*[1]Datos!$K$18/100</f>
        <v>274417.48610493657</v>
      </c>
      <c r="S21" s="106">
        <f t="shared" si="10"/>
        <v>30563245.121550549</v>
      </c>
      <c r="V21" s="127"/>
    </row>
    <row r="22" spans="1:22" x14ac:dyDescent="0.2">
      <c r="A22" s="131" t="s">
        <v>57</v>
      </c>
      <c r="B22" s="100">
        <v>3.33</v>
      </c>
      <c r="C22" s="129">
        <f>[1]Datos!I$13*B22%</f>
        <v>32518382.936130002</v>
      </c>
      <c r="D22" s="102">
        <f t="shared" si="0"/>
        <v>2.1630833407835541</v>
      </c>
      <c r="E22" s="103">
        <v>23469</v>
      </c>
      <c r="F22" s="104">
        <f t="shared" si="1"/>
        <v>2.1630833407835541</v>
      </c>
      <c r="G22" s="104">
        <f t="shared" si="2"/>
        <v>1.2978500044701324</v>
      </c>
      <c r="H22" s="130">
        <f>[1]Datos!$K$18*'[1]FGP total'!H22/100</f>
        <v>867631.33785949752</v>
      </c>
      <c r="I22" s="102">
        <v>0.71338900000000005</v>
      </c>
      <c r="J22" s="102">
        <f t="shared" si="3"/>
        <v>3.3358332985358259</v>
      </c>
      <c r="K22" s="102">
        <f t="shared" si="4"/>
        <v>1.0007499895607477</v>
      </c>
      <c r="L22" s="103">
        <f>[1]Datos!$K$18*'[1]FGP total'!L22/100</f>
        <v>669015.71777545998</v>
      </c>
      <c r="M22" s="106">
        <f t="shared" si="5"/>
        <v>1536647.0556349575</v>
      </c>
      <c r="N22" s="102">
        <f t="shared" si="6"/>
        <v>2.2985999940308801</v>
      </c>
      <c r="O22" s="102">
        <f t="shared" si="7"/>
        <v>0.4350474212985514</v>
      </c>
      <c r="P22" s="102">
        <f t="shared" si="8"/>
        <v>6.8263924397094096</v>
      </c>
      <c r="Q22" s="102">
        <f t="shared" si="9"/>
        <v>0.682639243970941</v>
      </c>
      <c r="R22" s="103">
        <f>Q22*[1]Datos!$K$18/100</f>
        <v>456354.1229586933</v>
      </c>
      <c r="S22" s="106">
        <f t="shared" si="10"/>
        <v>34511384.114723645</v>
      </c>
      <c r="V22" s="127"/>
    </row>
    <row r="23" spans="1:22" x14ac:dyDescent="0.2">
      <c r="A23" s="131" t="s">
        <v>58</v>
      </c>
      <c r="B23" s="100">
        <v>4.6900000000000004</v>
      </c>
      <c r="C23" s="129">
        <f>[1]Datos!I$13*B23%</f>
        <v>45799163.955090009</v>
      </c>
      <c r="D23" s="102">
        <f t="shared" si="0"/>
        <v>3.9742704697510276</v>
      </c>
      <c r="E23" s="103">
        <v>43120</v>
      </c>
      <c r="F23" s="104">
        <f t="shared" si="1"/>
        <v>3.9742704697510276</v>
      </c>
      <c r="G23" s="104">
        <f t="shared" si="2"/>
        <v>2.3845622818506165</v>
      </c>
      <c r="H23" s="130">
        <f>[1]Datos!$K$18*'[1]FGP total'!H23/100</f>
        <v>1594114.0776556963</v>
      </c>
      <c r="I23" s="102">
        <v>0.39641700000000002</v>
      </c>
      <c r="J23" s="102">
        <f t="shared" si="3"/>
        <v>1.8536605256118004</v>
      </c>
      <c r="K23" s="102">
        <f t="shared" si="4"/>
        <v>0.5560981576835401</v>
      </c>
      <c r="L23" s="103">
        <f>[1]Datos!$K$18*'[1]FGP total'!L23/100</f>
        <v>371759.59230292955</v>
      </c>
      <c r="M23" s="106">
        <f t="shared" si="5"/>
        <v>1965873.6699586259</v>
      </c>
      <c r="N23" s="102">
        <f t="shared" si="6"/>
        <v>2.9406604395341565</v>
      </c>
      <c r="O23" s="102">
        <f t="shared" si="7"/>
        <v>0.3400596636578736</v>
      </c>
      <c r="P23" s="102">
        <f t="shared" si="8"/>
        <v>5.3359257023412736</v>
      </c>
      <c r="Q23" s="102">
        <f t="shared" si="9"/>
        <v>0.53359257023412743</v>
      </c>
      <c r="R23" s="103">
        <f>Q23*[1]Datos!$K$18/100</f>
        <v>356714.28438537871</v>
      </c>
      <c r="S23" s="106">
        <f t="shared" si="10"/>
        <v>48121751.909434006</v>
      </c>
      <c r="V23" s="127"/>
    </row>
    <row r="24" spans="1:22" x14ac:dyDescent="0.2">
      <c r="A24" s="131" t="s">
        <v>59</v>
      </c>
      <c r="B24" s="100">
        <v>2.13</v>
      </c>
      <c r="C24" s="129">
        <f>[1]Datos!I$13*B24%</f>
        <v>20800046.742929999</v>
      </c>
      <c r="D24" s="102">
        <f t="shared" si="0"/>
        <v>0.69217929563613667</v>
      </c>
      <c r="E24" s="103">
        <v>7510</v>
      </c>
      <c r="F24" s="104">
        <f t="shared" si="1"/>
        <v>0.69217929563613667</v>
      </c>
      <c r="G24" s="104">
        <f t="shared" si="2"/>
        <v>0.415307577381682</v>
      </c>
      <c r="H24" s="130">
        <f>[1]Datos!$K$18*'[1]FGP total'!H24/100</f>
        <v>277639.07057500648</v>
      </c>
      <c r="I24" s="102">
        <v>0.79456599999999999</v>
      </c>
      <c r="J24" s="102">
        <f t="shared" si="3"/>
        <v>3.7154199471598481</v>
      </c>
      <c r="K24" s="102">
        <f t="shared" si="4"/>
        <v>1.1146259841479544</v>
      </c>
      <c r="L24" s="103">
        <f>[1]Datos!$K$18*'[1]FGP total'!L24/100</f>
        <v>745143.45302489412</v>
      </c>
      <c r="M24" s="106">
        <f t="shared" si="5"/>
        <v>1022782.5235999005</v>
      </c>
      <c r="N24" s="102">
        <f t="shared" si="6"/>
        <v>1.5299335615296363</v>
      </c>
      <c r="O24" s="102">
        <f t="shared" si="7"/>
        <v>0.65362315406702642</v>
      </c>
      <c r="P24" s="102">
        <f t="shared" si="8"/>
        <v>10.256096091833161</v>
      </c>
      <c r="Q24" s="102">
        <f t="shared" si="9"/>
        <v>1.0256096091833162</v>
      </c>
      <c r="R24" s="103">
        <f>Q24*[1]Datos!$K$18/100</f>
        <v>685634.72995523294</v>
      </c>
      <c r="S24" s="106">
        <f t="shared" si="10"/>
        <v>22508463.996485133</v>
      </c>
      <c r="V24" s="127"/>
    </row>
    <row r="25" spans="1:22" x14ac:dyDescent="0.2">
      <c r="A25" s="131" t="s">
        <v>60</v>
      </c>
      <c r="B25" s="100">
        <v>2.81</v>
      </c>
      <c r="C25" s="129">
        <f>[1]Datos!I$13*B25%</f>
        <v>27440437.252410002</v>
      </c>
      <c r="D25" s="102">
        <f t="shared" si="0"/>
        <v>2.0656621003724496</v>
      </c>
      <c r="E25" s="103">
        <v>22412</v>
      </c>
      <c r="F25" s="104">
        <f t="shared" si="1"/>
        <v>2.0656621003724496</v>
      </c>
      <c r="G25" s="104">
        <f t="shared" si="2"/>
        <v>1.2393972602234697</v>
      </c>
      <c r="H25" s="130">
        <f>[1]Datos!$K$18*'[1]FGP total'!H25/100</f>
        <v>828554.84017670376</v>
      </c>
      <c r="I25" s="102">
        <v>1.099386</v>
      </c>
      <c r="J25" s="102">
        <f t="shared" si="3"/>
        <v>5.1407695194965264</v>
      </c>
      <c r="K25" s="102">
        <f t="shared" si="4"/>
        <v>1.5422308558489579</v>
      </c>
      <c r="L25" s="103">
        <f>[1]Datos!$K$18*'[1]FGP total'!L25/100</f>
        <v>1031003.4411832702</v>
      </c>
      <c r="M25" s="106">
        <f t="shared" si="5"/>
        <v>1859558.2813599738</v>
      </c>
      <c r="N25" s="102">
        <f t="shared" si="6"/>
        <v>2.7816281160724277</v>
      </c>
      <c r="O25" s="102">
        <f t="shared" si="7"/>
        <v>0.35950168687968576</v>
      </c>
      <c r="P25" s="102">
        <f t="shared" si="8"/>
        <v>5.6409933198848687</v>
      </c>
      <c r="Q25" s="102">
        <f t="shared" si="9"/>
        <v>0.56409933198848694</v>
      </c>
      <c r="R25" s="103">
        <f>Q25*[1]Datos!$K$18/100</f>
        <v>377108.49205462483</v>
      </c>
      <c r="S25" s="106">
        <f t="shared" si="10"/>
        <v>29677104.025824603</v>
      </c>
      <c r="V25" s="127"/>
    </row>
    <row r="26" spans="1:22" x14ac:dyDescent="0.2">
      <c r="A26" s="131" t="s">
        <v>61</v>
      </c>
      <c r="B26" s="100">
        <v>8.34</v>
      </c>
      <c r="C26" s="129">
        <f>[1]Datos!I$13*B26%</f>
        <v>81442436.542740002</v>
      </c>
      <c r="D26" s="102">
        <f t="shared" si="0"/>
        <v>8.5784148817626882</v>
      </c>
      <c r="E26" s="103">
        <v>93074</v>
      </c>
      <c r="F26" s="104">
        <f t="shared" si="1"/>
        <v>8.5784148817626882</v>
      </c>
      <c r="G26" s="104">
        <f t="shared" si="2"/>
        <v>5.1470489290576129</v>
      </c>
      <c r="H26" s="130">
        <f>[1]Datos!$K$18*'[1]FGP total'!H26/100</f>
        <v>3440876.0126096075</v>
      </c>
      <c r="I26" s="102">
        <v>0.94212600000000002</v>
      </c>
      <c r="J26" s="102">
        <f t="shared" si="3"/>
        <v>4.4054159542919269</v>
      </c>
      <c r="K26" s="102">
        <f t="shared" si="4"/>
        <v>1.3216247862875781</v>
      </c>
      <c r="L26" s="103">
        <f>[1]Datos!$K$18*'[1]FGP total'!L26/100</f>
        <v>883525.12041105644</v>
      </c>
      <c r="M26" s="106">
        <f t="shared" si="5"/>
        <v>4324401.1330206636</v>
      </c>
      <c r="N26" s="102">
        <f t="shared" si="6"/>
        <v>6.468673715345191</v>
      </c>
      <c r="O26" s="102">
        <f t="shared" si="7"/>
        <v>0.1545911950432387</v>
      </c>
      <c r="P26" s="102">
        <f t="shared" si="8"/>
        <v>2.4257129531739197</v>
      </c>
      <c r="Q26" s="102">
        <f t="shared" si="9"/>
        <v>0.24257129531739197</v>
      </c>
      <c r="R26" s="103">
        <f>Q26*[1]Datos!$K$18/100</f>
        <v>162162.38914948006</v>
      </c>
      <c r="S26" s="106">
        <f t="shared" si="10"/>
        <v>85929000.064910144</v>
      </c>
      <c r="V26" s="127"/>
    </row>
    <row r="27" spans="1:22" x14ac:dyDescent="0.2">
      <c r="A27" s="131" t="s">
        <v>62</v>
      </c>
      <c r="B27" s="100">
        <v>3.5</v>
      </c>
      <c r="C27" s="129">
        <f>[1]Datos!I$13*B27%</f>
        <v>34178480.563500002</v>
      </c>
      <c r="D27" s="102">
        <f t="shared" si="0"/>
        <v>3.6642183857936419</v>
      </c>
      <c r="E27" s="103">
        <v>39756</v>
      </c>
      <c r="F27" s="104">
        <f t="shared" si="1"/>
        <v>3.6642183857936419</v>
      </c>
      <c r="G27" s="104">
        <f t="shared" si="2"/>
        <v>2.1985310314761852</v>
      </c>
      <c r="H27" s="130">
        <f>[1]Datos!$K$18*'[1]FGP total'!H27/100</f>
        <v>1469749.51927829</v>
      </c>
      <c r="I27" s="102">
        <v>2.345564</v>
      </c>
      <c r="J27" s="102">
        <f t="shared" si="3"/>
        <v>10.967943849774647</v>
      </c>
      <c r="K27" s="102">
        <f t="shared" si="4"/>
        <v>3.2903831549323939</v>
      </c>
      <c r="L27" s="103">
        <f>[1]Datos!$K$18*'[1]FGP total'!L27/100</f>
        <v>2199668.3198763635</v>
      </c>
      <c r="M27" s="106">
        <f t="shared" si="5"/>
        <v>3669417.8391546533</v>
      </c>
      <c r="N27" s="102">
        <f t="shared" si="6"/>
        <v>5.4889141864085786</v>
      </c>
      <c r="O27" s="102">
        <f t="shared" si="7"/>
        <v>0.18218539515085852</v>
      </c>
      <c r="P27" s="102">
        <f t="shared" si="8"/>
        <v>2.8586975653622453</v>
      </c>
      <c r="Q27" s="102">
        <f t="shared" si="9"/>
        <v>0.28586975653622454</v>
      </c>
      <c r="R27" s="103">
        <f>Q27*[1]Datos!$K$18/100</f>
        <v>191108.03133090504</v>
      </c>
      <c r="S27" s="106">
        <f t="shared" si="10"/>
        <v>38039006.433985561</v>
      </c>
      <c r="V27" s="127"/>
    </row>
    <row r="28" spans="1:22" x14ac:dyDescent="0.2">
      <c r="A28" s="131" t="s">
        <v>63</v>
      </c>
      <c r="B28" s="100">
        <v>39</v>
      </c>
      <c r="C28" s="129">
        <f>[1]Datos!I$13*B28%</f>
        <v>380845926.27900004</v>
      </c>
      <c r="D28" s="102">
        <f t="shared" si="0"/>
        <v>35.046669106037996</v>
      </c>
      <c r="E28" s="103">
        <v>380249</v>
      </c>
      <c r="F28" s="104">
        <f t="shared" si="1"/>
        <v>35.046669106037996</v>
      </c>
      <c r="G28" s="104">
        <f t="shared" si="2"/>
        <v>21.028001463622797</v>
      </c>
      <c r="H28" s="130">
        <f>[1]Datos!$K$18*'[1]FGP total'!H28/100</f>
        <v>14057520.498944825</v>
      </c>
      <c r="I28" s="102">
        <v>0.84406499999999995</v>
      </c>
      <c r="J28" s="102">
        <f t="shared" si="3"/>
        <v>3.9468790984002302</v>
      </c>
      <c r="K28" s="102">
        <f t="shared" si="4"/>
        <v>1.1840637295200691</v>
      </c>
      <c r="L28" s="103">
        <f>[1]Datos!$K$18*'[1]FGP total'!L28/100</f>
        <v>791563.58147398371</v>
      </c>
      <c r="M28" s="106">
        <f t="shared" si="5"/>
        <v>14849084.080418808</v>
      </c>
      <c r="N28" s="102">
        <f t="shared" si="6"/>
        <v>22.212065193142866</v>
      </c>
      <c r="O28" s="102">
        <f t="shared" si="7"/>
        <v>4.5020577389116981E-2</v>
      </c>
      <c r="P28" s="102">
        <f t="shared" si="8"/>
        <v>0.7064244357617202</v>
      </c>
      <c r="Q28" s="102">
        <f t="shared" si="9"/>
        <v>7.0642443576172026E-2</v>
      </c>
      <c r="R28" s="103">
        <f>Q28*[1]Datos!$K$18/100</f>
        <v>47225.486472669429</v>
      </c>
      <c r="S28" s="106">
        <f t="shared" si="10"/>
        <v>395742235.84589154</v>
      </c>
      <c r="V28" s="127"/>
    </row>
    <row r="29" spans="1:22" x14ac:dyDescent="0.2">
      <c r="A29" s="131" t="s">
        <v>64</v>
      </c>
      <c r="B29" s="100">
        <v>3.79</v>
      </c>
      <c r="C29" s="129">
        <f>[1]Datos!I$13*B29%</f>
        <v>37010411.810190007</v>
      </c>
      <c r="D29" s="102">
        <f t="shared" si="0"/>
        <v>2.7677955057194654</v>
      </c>
      <c r="E29" s="103">
        <v>30030</v>
      </c>
      <c r="F29" s="104">
        <f t="shared" si="1"/>
        <v>2.7677955057194654</v>
      </c>
      <c r="G29" s="104">
        <f t="shared" si="2"/>
        <v>1.6606773034316793</v>
      </c>
      <c r="H29" s="130">
        <f>[1]Datos!$K$18*'[1]FGP total'!H29/100</f>
        <v>1110186.5897959315</v>
      </c>
      <c r="I29" s="102">
        <v>0.97075900000000004</v>
      </c>
      <c r="J29" s="102">
        <f t="shared" si="3"/>
        <v>4.5393049192703279</v>
      </c>
      <c r="K29" s="102">
        <f t="shared" si="4"/>
        <v>1.3617914757810983</v>
      </c>
      <c r="L29" s="103">
        <f>[1]Datos!$K$18*'[1]FGP total'!L29/100</f>
        <v>910377.12828763528</v>
      </c>
      <c r="M29" s="106">
        <f t="shared" si="5"/>
        <v>2020563.7180835668</v>
      </c>
      <c r="N29" s="102">
        <f t="shared" si="6"/>
        <v>3.0224687792127778</v>
      </c>
      <c r="O29" s="102">
        <f t="shared" si="7"/>
        <v>0.33085536131177395</v>
      </c>
      <c r="P29" s="102">
        <f t="shared" si="8"/>
        <v>5.1914996538873615</v>
      </c>
      <c r="Q29" s="102">
        <f t="shared" si="9"/>
        <v>0.51914996538873615</v>
      </c>
      <c r="R29" s="103">
        <f>Q29*[1]Datos!$K$18/100</f>
        <v>347059.1959537238</v>
      </c>
      <c r="S29" s="106">
        <f t="shared" si="10"/>
        <v>39378034.724227302</v>
      </c>
      <c r="V29" s="127"/>
    </row>
    <row r="30" spans="1:22" x14ac:dyDescent="0.2">
      <c r="A30" s="131" t="s">
        <v>65</v>
      </c>
      <c r="B30" s="143">
        <v>3.1</v>
      </c>
      <c r="C30" s="144">
        <f>[1]Datos!I$13*B30%</f>
        <v>30272368.4991</v>
      </c>
      <c r="D30" s="145">
        <f t="shared" si="0"/>
        <v>4.5256175465147246</v>
      </c>
      <c r="E30" s="146">
        <v>49102</v>
      </c>
      <c r="F30" s="147">
        <f t="shared" si="1"/>
        <v>4.5256175465147246</v>
      </c>
      <c r="G30" s="147">
        <f t="shared" si="2"/>
        <v>2.7153705279088345</v>
      </c>
      <c r="H30" s="148">
        <f>[1]Datos!$K$18*'[1]FGP total'!H30/100</f>
        <v>1815264.1336050553</v>
      </c>
      <c r="I30" s="145">
        <v>1.0003390000000001</v>
      </c>
      <c r="J30" s="145">
        <f t="shared" si="3"/>
        <v>4.6776220912069428</v>
      </c>
      <c r="K30" s="145">
        <f t="shared" si="4"/>
        <v>1.4032866273620828</v>
      </c>
      <c r="L30" s="146">
        <f>[1]Datos!$K$18*'[1]FGP total'!L30/100</f>
        <v>938117.23211850191</v>
      </c>
      <c r="M30" s="149">
        <f t="shared" si="5"/>
        <v>2753381.3657235573</v>
      </c>
      <c r="N30" s="145">
        <f t="shared" si="6"/>
        <v>4.1186571552709168</v>
      </c>
      <c r="O30" s="145">
        <f t="shared" si="7"/>
        <v>0.24279758239168661</v>
      </c>
      <c r="P30" s="145">
        <f t="shared" si="8"/>
        <v>3.80977222177561</v>
      </c>
      <c r="Q30" s="145">
        <f t="shared" si="9"/>
        <v>0.38097722217756103</v>
      </c>
      <c r="R30" s="146">
        <f>Q30*[1]Datos!$K$18/100</f>
        <v>254688.73585808833</v>
      </c>
      <c r="S30" s="149">
        <f t="shared" si="10"/>
        <v>33280438.600681644</v>
      </c>
      <c r="V30" s="127"/>
    </row>
    <row r="31" spans="1:22" x14ac:dyDescent="0.2">
      <c r="A31" s="116" t="s">
        <v>66</v>
      </c>
      <c r="B31" s="117">
        <f>SUM(B11:B30)</f>
        <v>100</v>
      </c>
      <c r="C31" s="150">
        <f>SUM(C11:C30)</f>
        <v>976528016.0999999</v>
      </c>
      <c r="D31" s="119">
        <f>SUM(D11:D30)</f>
        <v>99.999999999999986</v>
      </c>
      <c r="E31" s="120">
        <f>SUM(E11:E30)</f>
        <v>1084979</v>
      </c>
      <c r="F31" s="244">
        <f t="shared" si="1"/>
        <v>99.999999999999986</v>
      </c>
      <c r="G31" s="244">
        <f t="shared" ref="G31:L31" si="11">SUM(G11:G30)</f>
        <v>59.999999999999993</v>
      </c>
      <c r="H31" s="151">
        <f t="shared" si="11"/>
        <v>40110860.339999996</v>
      </c>
      <c r="I31" s="102">
        <f t="shared" si="11"/>
        <v>21.385630999999997</v>
      </c>
      <c r="J31" s="104">
        <f t="shared" si="11"/>
        <v>100.00000000000001</v>
      </c>
      <c r="K31" s="104">
        <f t="shared" si="11"/>
        <v>29.999999999999996</v>
      </c>
      <c r="L31" s="103">
        <f t="shared" si="11"/>
        <v>20055430.170000002</v>
      </c>
      <c r="M31" s="106">
        <f t="shared" si="5"/>
        <v>60166290.509999998</v>
      </c>
      <c r="N31" s="123">
        <f t="shared" ref="N31:S31" si="12">SUM(N11:N30)</f>
        <v>90</v>
      </c>
      <c r="O31" s="123">
        <f t="shared" si="12"/>
        <v>6.3730209644535289</v>
      </c>
      <c r="P31" s="123">
        <f t="shared" si="12"/>
        <v>100</v>
      </c>
      <c r="Q31" s="102">
        <f t="shared" si="12"/>
        <v>10.000000000000002</v>
      </c>
      <c r="R31" s="103">
        <f t="shared" si="12"/>
        <v>6685143.3900000006</v>
      </c>
      <c r="S31" s="106">
        <f t="shared" si="12"/>
        <v>1043379450</v>
      </c>
      <c r="V31" s="127"/>
    </row>
    <row r="32" spans="1:22" x14ac:dyDescent="0.2">
      <c r="A32" s="82" t="s">
        <v>95</v>
      </c>
      <c r="B32" s="111"/>
    </row>
    <row r="33" spans="19:19" x14ac:dyDescent="0.2">
      <c r="S33" s="124"/>
    </row>
  </sheetData>
  <mergeCells count="15">
    <mergeCell ref="A3:S3"/>
    <mergeCell ref="A4:S4"/>
    <mergeCell ref="A6:A10"/>
    <mergeCell ref="B6:B8"/>
    <mergeCell ref="E6:H6"/>
    <mergeCell ref="I6:L6"/>
    <mergeCell ref="M6:M10"/>
    <mergeCell ref="N6:R6"/>
    <mergeCell ref="S6:S10"/>
    <mergeCell ref="D7:E7"/>
    <mergeCell ref="I7:I8"/>
    <mergeCell ref="J7:J8"/>
    <mergeCell ref="L7:L8"/>
    <mergeCell ref="N7:N10"/>
    <mergeCell ref="D8:E8"/>
  </mergeCells>
  <printOptions horizontalCentered="1"/>
  <pageMargins left="0.27559055118110237" right="0.70866141732283472" top="0.74803149606299213" bottom="0.74803149606299213" header="0.31496062992125984" footer="0.31496062992125984"/>
  <pageSetup paperSize="5" scale="87" orientation="landscape" r:id="rId1"/>
  <ignoredErrors>
    <ignoredError sqref="B10 C9:C10 E10:I10 K10:L10 Q10:R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workbookViewId="0">
      <selection activeCell="B5" sqref="B5:N5"/>
    </sheetView>
  </sheetViews>
  <sheetFormatPr baseColWidth="10" defaultColWidth="11.42578125" defaultRowHeight="15" x14ac:dyDescent="0.25"/>
  <cols>
    <col min="1" max="1" width="3.5703125" style="20" customWidth="1"/>
    <col min="2" max="2" width="22.42578125" customWidth="1"/>
    <col min="3" max="3" width="13.28515625" style="11" bestFit="1" customWidth="1"/>
    <col min="4" max="4" width="15.28515625" bestFit="1" customWidth="1"/>
    <col min="5" max="5" width="11.5703125" bestFit="1" customWidth="1"/>
    <col min="6" max="6" width="11.85546875" bestFit="1" customWidth="1"/>
    <col min="7" max="7" width="14.7109375" style="51" bestFit="1" customWidth="1"/>
    <col min="8" max="8" width="13.7109375" customWidth="1"/>
    <col min="9" max="9" width="12" customWidth="1"/>
    <col min="10" max="10" width="17.140625" style="51" customWidth="1"/>
    <col min="11" max="11" width="11.28515625" bestFit="1" customWidth="1"/>
    <col min="12" max="12" width="11.85546875" bestFit="1" customWidth="1"/>
    <col min="13" max="13" width="17.42578125" style="51" bestFit="1" customWidth="1"/>
    <col min="14" max="14" width="19.140625" bestFit="1" customWidth="1"/>
    <col min="15" max="15" width="15.28515625" bestFit="1" customWidth="1"/>
  </cols>
  <sheetData>
    <row r="2" spans="1:16" x14ac:dyDescent="0.25">
      <c r="B2" s="1"/>
      <c r="C2" s="15"/>
      <c r="D2" s="1"/>
      <c r="E2" s="1"/>
      <c r="F2" s="1"/>
      <c r="G2" s="21"/>
      <c r="H2" s="1"/>
      <c r="I2" s="1"/>
      <c r="J2" s="21"/>
      <c r="K2" s="1"/>
      <c r="L2" s="1"/>
      <c r="M2" s="21"/>
      <c r="N2" s="1"/>
      <c r="O2" s="274" t="s">
        <v>96</v>
      </c>
    </row>
    <row r="3" spans="1:16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6" x14ac:dyDescent="0.25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6" ht="15" customHeight="1" x14ac:dyDescent="0.25">
      <c r="A5" s="336" t="s">
        <v>97</v>
      </c>
      <c r="B5" s="337" t="s">
        <v>98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22" t="s">
        <v>99</v>
      </c>
    </row>
    <row r="6" spans="1:16" ht="15" customHeight="1" x14ac:dyDescent="0.25">
      <c r="A6" s="336"/>
      <c r="B6" s="337" t="s">
        <v>72</v>
      </c>
      <c r="C6" s="340" t="s">
        <v>100</v>
      </c>
      <c r="D6" s="341"/>
      <c r="E6" s="342" t="s">
        <v>101</v>
      </c>
      <c r="F6" s="343"/>
      <c r="G6" s="342" t="s">
        <v>102</v>
      </c>
      <c r="H6" s="344"/>
      <c r="I6" s="344"/>
      <c r="J6" s="344"/>
      <c r="K6" s="344"/>
      <c r="L6" s="344"/>
      <c r="M6" s="344"/>
      <c r="N6" s="344"/>
      <c r="O6" s="5" t="s">
        <v>103</v>
      </c>
    </row>
    <row r="7" spans="1:16" x14ac:dyDescent="0.25">
      <c r="A7" s="336"/>
      <c r="B7" s="338"/>
      <c r="C7" s="5" t="s">
        <v>104</v>
      </c>
      <c r="D7" s="5" t="s">
        <v>105</v>
      </c>
      <c r="E7" s="265" t="s">
        <v>39</v>
      </c>
      <c r="F7" s="265" t="s">
        <v>106</v>
      </c>
      <c r="G7" s="23" t="s">
        <v>76</v>
      </c>
      <c r="H7" s="345" t="s">
        <v>107</v>
      </c>
      <c r="I7" s="346"/>
      <c r="J7" s="24" t="s">
        <v>108</v>
      </c>
      <c r="K7" s="347" t="s">
        <v>109</v>
      </c>
      <c r="L7" s="348"/>
      <c r="M7" s="24" t="s">
        <v>108</v>
      </c>
      <c r="N7" s="25" t="s">
        <v>110</v>
      </c>
      <c r="O7" s="5" t="s">
        <v>111</v>
      </c>
    </row>
    <row r="8" spans="1:16" x14ac:dyDescent="0.25">
      <c r="A8" s="336"/>
      <c r="B8" s="338"/>
      <c r="C8" s="5" t="s">
        <v>76</v>
      </c>
      <c r="D8" s="5" t="s">
        <v>112</v>
      </c>
      <c r="E8" s="5" t="s">
        <v>113</v>
      </c>
      <c r="F8" s="265" t="s">
        <v>114</v>
      </c>
      <c r="G8" s="26" t="s">
        <v>115</v>
      </c>
      <c r="H8" s="330">
        <v>2014</v>
      </c>
      <c r="I8" s="331"/>
      <c r="J8" s="27" t="s">
        <v>116</v>
      </c>
      <c r="K8" s="332">
        <v>2014</v>
      </c>
      <c r="L8" s="333"/>
      <c r="M8" s="28" t="s">
        <v>117</v>
      </c>
      <c r="N8" s="29" t="s">
        <v>118</v>
      </c>
      <c r="O8" s="5" t="s">
        <v>119</v>
      </c>
    </row>
    <row r="9" spans="1:16" x14ac:dyDescent="0.25">
      <c r="A9" s="336"/>
      <c r="B9" s="338"/>
      <c r="C9" s="30">
        <v>2014</v>
      </c>
      <c r="D9" s="30" t="s">
        <v>37</v>
      </c>
      <c r="E9" s="30" t="s">
        <v>120</v>
      </c>
      <c r="F9" s="30"/>
      <c r="G9" s="31" t="s">
        <v>121</v>
      </c>
      <c r="H9" s="30" t="s">
        <v>122</v>
      </c>
      <c r="I9" s="30" t="s">
        <v>106</v>
      </c>
      <c r="J9" s="31" t="s">
        <v>121</v>
      </c>
      <c r="K9" s="18" t="s">
        <v>122</v>
      </c>
      <c r="L9" s="18" t="s">
        <v>106</v>
      </c>
      <c r="M9" s="32" t="s">
        <v>123</v>
      </c>
      <c r="N9" s="33" t="s">
        <v>124</v>
      </c>
      <c r="O9" s="7">
        <v>2016</v>
      </c>
    </row>
    <row r="10" spans="1:16" x14ac:dyDescent="0.25">
      <c r="A10" s="336"/>
      <c r="B10" s="339"/>
      <c r="C10" s="6" t="s">
        <v>82</v>
      </c>
      <c r="D10" s="6" t="s">
        <v>83</v>
      </c>
      <c r="E10" s="6" t="s">
        <v>85</v>
      </c>
      <c r="F10" s="6" t="s">
        <v>86</v>
      </c>
      <c r="G10" s="34" t="s">
        <v>125</v>
      </c>
      <c r="H10" s="6" t="s">
        <v>88</v>
      </c>
      <c r="I10" s="6" t="s">
        <v>89</v>
      </c>
      <c r="J10" s="34" t="s">
        <v>126</v>
      </c>
      <c r="K10" s="6" t="s">
        <v>91</v>
      </c>
      <c r="L10" s="6" t="s">
        <v>92</v>
      </c>
      <c r="M10" s="34" t="s">
        <v>127</v>
      </c>
      <c r="N10" s="35" t="s">
        <v>128</v>
      </c>
      <c r="O10" s="280" t="s">
        <v>129</v>
      </c>
    </row>
    <row r="11" spans="1:16" x14ac:dyDescent="0.25">
      <c r="A11" s="280" t="s">
        <v>130</v>
      </c>
      <c r="B11" s="36" t="s">
        <v>46</v>
      </c>
      <c r="C11" s="152">
        <v>3.62</v>
      </c>
      <c r="D11" s="153">
        <f>[1]Datos!K$23*[1]FFM!D11%</f>
        <v>15655542.292800002</v>
      </c>
      <c r="E11" s="153">
        <v>36572</v>
      </c>
      <c r="F11" s="154">
        <f>E11/E$31*100</f>
        <v>3.3707564846877225</v>
      </c>
      <c r="G11" s="238">
        <f>(([1]Datos!K$24*0.7)*(0.5))*F11%</f>
        <v>112849.87994348277</v>
      </c>
      <c r="H11" s="153">
        <v>10595876</v>
      </c>
      <c r="I11" s="154">
        <f>H11/H$31*100</f>
        <v>2.2818051286500491</v>
      </c>
      <c r="J11" s="238">
        <f>(([1]Datos!K$24*0.7)*(0.5))*[1]FFM!J11%</f>
        <v>76392.772955367342</v>
      </c>
      <c r="K11" s="39">
        <f>'[1]FGP 30%'!I36</f>
        <v>3921861</v>
      </c>
      <c r="L11" s="37">
        <f>K11/K$31*100</f>
        <v>29.890314966066967</v>
      </c>
      <c r="M11" s="236">
        <f>([1]Datos!K$24-[1]FFM!H$31-[1]FFM!K$31)*[1]FFM!M11%</f>
        <v>857743.47790216515</v>
      </c>
      <c r="N11" s="237">
        <f>G11+J11+M11</f>
        <v>1046986.1308010153</v>
      </c>
      <c r="O11" s="153">
        <f>D11+N11</f>
        <v>16702528.423601016</v>
      </c>
      <c r="P11" s="40"/>
    </row>
    <row r="12" spans="1:16" x14ac:dyDescent="0.25">
      <c r="A12" s="41" t="s">
        <v>131</v>
      </c>
      <c r="B12" s="17" t="s">
        <v>47</v>
      </c>
      <c r="C12" s="155">
        <v>2.4700000000000002</v>
      </c>
      <c r="D12" s="39">
        <f>[1]Datos!K$23*[1]FFM!D12%</f>
        <v>10682096.536800001</v>
      </c>
      <c r="E12" s="158">
        <v>15229</v>
      </c>
      <c r="F12" s="156">
        <f t="shared" ref="F12:F31" si="0">E12/E$31*100</f>
        <v>1.4036216369164749</v>
      </c>
      <c r="G12" s="183">
        <f>(([1]Datos!K$24*0.7)*(0.5))*F12%</f>
        <v>46991.983530003803</v>
      </c>
      <c r="H12" s="39">
        <v>3514317</v>
      </c>
      <c r="I12" s="156">
        <f t="shared" ref="I12:I30" si="1">H12/H$31*100</f>
        <v>0.75680260455124748</v>
      </c>
      <c r="J12" s="183">
        <f>(([1]Datos!K$24*0.7)*(0.5))*[1]FFM!J12%</f>
        <v>25337.06705082125</v>
      </c>
      <c r="K12" s="39">
        <v>0</v>
      </c>
      <c r="L12" s="37">
        <f t="shared" ref="L12:L15" si="2">K12/K$31*100</f>
        <v>0</v>
      </c>
      <c r="M12" s="236">
        <f>([1]Datos!K$24-[1]FFM!H$31-[1]FFM!K$31)*[1]FFM!M12%</f>
        <v>0</v>
      </c>
      <c r="N12" s="237">
        <f t="shared" ref="N12:N30" si="3">G12+J12+M12</f>
        <v>72329.050580825045</v>
      </c>
      <c r="O12" s="39">
        <f t="shared" ref="O12:O30" si="4">D12+N12</f>
        <v>10754425.587380826</v>
      </c>
      <c r="P12" s="40"/>
    </row>
    <row r="13" spans="1:16" x14ac:dyDescent="0.25">
      <c r="A13" s="41" t="s">
        <v>131</v>
      </c>
      <c r="B13" s="17" t="s">
        <v>48</v>
      </c>
      <c r="C13" s="155">
        <v>2.33</v>
      </c>
      <c r="D13" s="39">
        <f>[1]Datos!K$23*[1]FFM!D13%</f>
        <v>10076633.575200001</v>
      </c>
      <c r="E13" s="39">
        <v>11188</v>
      </c>
      <c r="F13" s="156">
        <f t="shared" si="0"/>
        <v>1.0311720319010782</v>
      </c>
      <c r="G13" s="183">
        <f>(([1]Datos!K$24*0.7)*(0.5))*F13%</f>
        <v>34522.707448531255</v>
      </c>
      <c r="H13" s="39">
        <v>3191771</v>
      </c>
      <c r="I13" s="156">
        <f t="shared" si="1"/>
        <v>0.68734283387956752</v>
      </c>
      <c r="J13" s="183">
        <f>(([1]Datos!K$24*0.7)*(0.5))*[1]FFM!J13%</f>
        <v>23011.616720366092</v>
      </c>
      <c r="K13" s="39">
        <v>0</v>
      </c>
      <c r="L13" s="37">
        <f t="shared" si="2"/>
        <v>0</v>
      </c>
      <c r="M13" s="236">
        <f>([1]Datos!K$24-[1]FFM!H$31-[1]FFM!K$31)*[1]FFM!M13%</f>
        <v>0</v>
      </c>
      <c r="N13" s="237">
        <f t="shared" si="3"/>
        <v>57534.32416889735</v>
      </c>
      <c r="O13" s="39">
        <f t="shared" si="4"/>
        <v>10134167.899368899</v>
      </c>
      <c r="P13" s="40"/>
    </row>
    <row r="14" spans="1:16" x14ac:dyDescent="0.25">
      <c r="A14" s="41" t="s">
        <v>131</v>
      </c>
      <c r="B14" s="17" t="s">
        <v>49</v>
      </c>
      <c r="C14" s="155">
        <v>2.81</v>
      </c>
      <c r="D14" s="39">
        <f>[1]Datos!K$23*[1]FFM!D14%</f>
        <v>12152506.5864</v>
      </c>
      <c r="E14" s="39">
        <v>124205</v>
      </c>
      <c r="F14" s="156">
        <f t="shared" si="0"/>
        <v>11.447687005923617</v>
      </c>
      <c r="G14" s="183">
        <f>(([1]Datos!K$24*0.7)*(0.5))*F14%</f>
        <v>383258.21224926936</v>
      </c>
      <c r="H14" s="39">
        <v>160191302</v>
      </c>
      <c r="I14" s="156">
        <f t="shared" si="1"/>
        <v>34.496943383324691</v>
      </c>
      <c r="J14" s="183">
        <f>(([1]Datos!K$24*0.7)*(0.5))*[1]FFM!J14%</f>
        <v>1154926.479236892</v>
      </c>
      <c r="K14" s="39">
        <v>0</v>
      </c>
      <c r="L14" s="37">
        <f t="shared" si="2"/>
        <v>0</v>
      </c>
      <c r="M14" s="236">
        <f>([1]Datos!K$24-[1]FFM!H$31-[1]FFM!K$31)*[1]FFM!M14%</f>
        <v>0</v>
      </c>
      <c r="N14" s="237">
        <f t="shared" si="3"/>
        <v>1538184.6914861612</v>
      </c>
      <c r="O14" s="39">
        <f t="shared" si="4"/>
        <v>13690691.277886162</v>
      </c>
      <c r="P14" s="40"/>
    </row>
    <row r="15" spans="1:16" x14ac:dyDescent="0.25">
      <c r="A15" s="41" t="s">
        <v>131</v>
      </c>
      <c r="B15" s="17" t="s">
        <v>50</v>
      </c>
      <c r="C15" s="155">
        <v>4.6399999999999997</v>
      </c>
      <c r="D15" s="39">
        <f>[1]Datos!K$23*[1]FFM!D15%</f>
        <v>20066772.441599999</v>
      </c>
      <c r="E15" s="39">
        <v>70399</v>
      </c>
      <c r="F15" s="156">
        <f t="shared" si="0"/>
        <v>6.4885126808905982</v>
      </c>
      <c r="G15" s="183">
        <f>(([1]Datos!K$24*0.7)*(0.5))*F15%</f>
        <v>217229.5389407537</v>
      </c>
      <c r="H15" s="39">
        <v>35101187</v>
      </c>
      <c r="I15" s="156">
        <f t="shared" si="1"/>
        <v>7.5589850729004784</v>
      </c>
      <c r="J15" s="183">
        <f>(([1]Datos!K$24*0.7)*(0.5))*[1]FFM!J15%</f>
        <v>253067.98691820211</v>
      </c>
      <c r="K15" s="39">
        <v>0</v>
      </c>
      <c r="L15" s="37">
        <f t="shared" si="2"/>
        <v>0</v>
      </c>
      <c r="M15" s="236">
        <f>([1]Datos!K$24-[1]FFM!H$31-[1]FFM!K$31)*[1]FFM!M15%</f>
        <v>0</v>
      </c>
      <c r="N15" s="237">
        <f t="shared" si="3"/>
        <v>470297.52585895581</v>
      </c>
      <c r="O15" s="39">
        <f t="shared" si="4"/>
        <v>20537069.967458956</v>
      </c>
      <c r="P15" s="40"/>
    </row>
    <row r="16" spans="1:16" x14ac:dyDescent="0.25">
      <c r="A16" s="280" t="s">
        <v>130</v>
      </c>
      <c r="B16" s="42" t="s">
        <v>51</v>
      </c>
      <c r="C16" s="155">
        <v>1.5</v>
      </c>
      <c r="D16" s="39">
        <f>[1]Datos!K$23*[1]FFM!D16%</f>
        <v>6487103.1600000001</v>
      </c>
      <c r="E16" s="39">
        <v>34300</v>
      </c>
      <c r="F16" s="156">
        <f t="shared" si="0"/>
        <v>3.1613515100292262</v>
      </c>
      <c r="G16" s="183">
        <f>(([1]Datos!K$24*0.7)*(0.5))*F16%</f>
        <v>105839.19069401342</v>
      </c>
      <c r="H16" s="39">
        <v>66546</v>
      </c>
      <c r="I16" s="156">
        <f t="shared" si="1"/>
        <v>1.4330575791104591E-2</v>
      </c>
      <c r="J16" s="183">
        <f>(([1]Datos!K$24*0.7)*(0.5))*[1]FFM!J16%</f>
        <v>479.77472264566654</v>
      </c>
      <c r="K16" s="39">
        <f>'[1]FGP 30%'!I41</f>
        <v>12070</v>
      </c>
      <c r="L16" s="37">
        <f t="shared" ref="L16:L30" si="5">K16/K$31*100</f>
        <v>9.1991047525760927E-2</v>
      </c>
      <c r="M16" s="236">
        <f>([1]Datos!K$24-[1]FFM!H$31-[1]FFM!K$31)*[1]FFM!M16%</f>
        <v>2639.8089525047249</v>
      </c>
      <c r="N16" s="237">
        <f t="shared" si="3"/>
        <v>108958.77436916382</v>
      </c>
      <c r="O16" s="39">
        <f t="shared" si="4"/>
        <v>6596061.9343691636</v>
      </c>
      <c r="P16" s="40"/>
    </row>
    <row r="17" spans="1:16" x14ac:dyDescent="0.25">
      <c r="A17" s="280" t="s">
        <v>130</v>
      </c>
      <c r="B17" s="42" t="s">
        <v>52</v>
      </c>
      <c r="C17" s="155">
        <v>1.53</v>
      </c>
      <c r="D17" s="39">
        <f>[1]Datos!K$23*[1]FFM!D17%</f>
        <v>6616845.2232000008</v>
      </c>
      <c r="E17" s="39">
        <v>11400</v>
      </c>
      <c r="F17" s="156">
        <f t="shared" si="0"/>
        <v>1.050711580592804</v>
      </c>
      <c r="G17" s="183">
        <f>(([1]Datos!K$24*0.7)*(0.5))*F17%</f>
        <v>35176.873874978221</v>
      </c>
      <c r="H17" s="39">
        <v>200502</v>
      </c>
      <c r="I17" s="156">
        <f t="shared" si="1"/>
        <v>4.3177788406035721E-2</v>
      </c>
      <c r="J17" s="183">
        <f>(([1]Datos!K$24*0.7)*(0.5))*[1]FFM!J17%</f>
        <v>1445.5533231133568</v>
      </c>
      <c r="K17" s="39">
        <f>'[1]FGP 30%'!I42</f>
        <v>20381</v>
      </c>
      <c r="L17" s="37">
        <f t="shared" si="5"/>
        <v>0.15533301902423641</v>
      </c>
      <c r="M17" s="236">
        <f>([1]Datos!K$24-[1]FFM!H$31-[1]FFM!K$31)*[1]FFM!M17%</f>
        <v>4457.4934764704885</v>
      </c>
      <c r="N17" s="237">
        <f t="shared" si="3"/>
        <v>41079.920674562069</v>
      </c>
      <c r="O17" s="39">
        <f t="shared" si="4"/>
        <v>6657925.1438745633</v>
      </c>
      <c r="P17" s="40"/>
    </row>
    <row r="18" spans="1:16" x14ac:dyDescent="0.25">
      <c r="A18" s="41" t="s">
        <v>131</v>
      </c>
      <c r="B18" s="17" t="s">
        <v>53</v>
      </c>
      <c r="C18" s="155">
        <v>3.16</v>
      </c>
      <c r="D18" s="39">
        <f>[1]Datos!K$23*[1]FFM!D18%</f>
        <v>13666163.990400001</v>
      </c>
      <c r="E18" s="39">
        <v>27273</v>
      </c>
      <c r="F18" s="156">
        <f t="shared" si="0"/>
        <v>2.5136892050445216</v>
      </c>
      <c r="G18" s="183">
        <f>(([1]Datos!K$24*0.7)*(0.5))*F18%</f>
        <v>84156.042209849213</v>
      </c>
      <c r="H18" s="39">
        <v>11189288</v>
      </c>
      <c r="I18" s="156">
        <f t="shared" si="1"/>
        <v>2.4095954637768933</v>
      </c>
      <c r="J18" s="183">
        <f>(([1]Datos!K$24*0.7)*(0.5))*[1]FFM!J18%</f>
        <v>80671.07785295113</v>
      </c>
      <c r="K18" s="39">
        <v>0</v>
      </c>
      <c r="L18" s="37">
        <f t="shared" si="5"/>
        <v>0</v>
      </c>
      <c r="M18" s="236">
        <f>([1]Datos!K$24-[1]FFM!H$31-[1]FFM!K$31)*[1]FFM!M18%</f>
        <v>0</v>
      </c>
      <c r="N18" s="237">
        <f t="shared" si="3"/>
        <v>164827.12006280036</v>
      </c>
      <c r="O18" s="39">
        <f t="shared" si="4"/>
        <v>13830991.110462802</v>
      </c>
      <c r="P18" s="40"/>
    </row>
    <row r="19" spans="1:16" x14ac:dyDescent="0.25">
      <c r="A19" s="41" t="s">
        <v>131</v>
      </c>
      <c r="B19" s="17" t="s">
        <v>54</v>
      </c>
      <c r="C19" s="155">
        <v>2.81</v>
      </c>
      <c r="D19" s="39">
        <f>[1]Datos!K$23*[1]FFM!D19%</f>
        <v>12152506.5864</v>
      </c>
      <c r="E19" s="39">
        <v>17698</v>
      </c>
      <c r="F19" s="156">
        <f t="shared" si="0"/>
        <v>1.6311836450290742</v>
      </c>
      <c r="G19" s="183">
        <f>(([1]Datos!K$24*0.7)*(0.5))*F19%</f>
        <v>54610.553845558294</v>
      </c>
      <c r="H19" s="39">
        <v>2644098</v>
      </c>
      <c r="I19" s="156">
        <f t="shared" si="1"/>
        <v>0.56940232002085878</v>
      </c>
      <c r="J19" s="183">
        <f>(([1]Datos!K$24*0.7)*(0.5))*[1]FFM!J19%</f>
        <v>19063.074934601053</v>
      </c>
      <c r="K19" s="39">
        <v>0</v>
      </c>
      <c r="L19" s="37">
        <f t="shared" si="5"/>
        <v>0</v>
      </c>
      <c r="M19" s="236">
        <f>([1]Datos!K$24-[1]FFM!H$31-[1]FFM!K$31)*[1]FFM!M19%</f>
        <v>0</v>
      </c>
      <c r="N19" s="237">
        <f t="shared" si="3"/>
        <v>73673.628780159343</v>
      </c>
      <c r="O19" s="39">
        <f t="shared" si="4"/>
        <v>12226180.21518016</v>
      </c>
      <c r="P19" s="40"/>
    </row>
    <row r="20" spans="1:16" x14ac:dyDescent="0.25">
      <c r="A20" s="41" t="s">
        <v>131</v>
      </c>
      <c r="B20" s="17" t="s">
        <v>55</v>
      </c>
      <c r="C20" s="155">
        <v>1.6</v>
      </c>
      <c r="D20" s="39">
        <f>[1]Datos!K$23*[1]FFM!D20%</f>
        <v>6919576.7039999999</v>
      </c>
      <c r="E20" s="39">
        <v>13600</v>
      </c>
      <c r="F20" s="156">
        <f t="shared" si="0"/>
        <v>1.2534804821107137</v>
      </c>
      <c r="G20" s="183">
        <f>(([1]Datos!K$24*0.7)*(0.5))*F20%</f>
        <v>41965.39339471086</v>
      </c>
      <c r="H20" s="39">
        <v>536720</v>
      </c>
      <c r="I20" s="156">
        <f t="shared" si="1"/>
        <v>0.11558180264180654</v>
      </c>
      <c r="J20" s="183">
        <f>(([1]Datos!K$24*0.7)*(0.5))*[1]FFM!J20%</f>
        <v>3869.5742664980939</v>
      </c>
      <c r="K20" s="39">
        <v>0</v>
      </c>
      <c r="L20" s="37">
        <f t="shared" si="5"/>
        <v>0</v>
      </c>
      <c r="M20" s="236">
        <f>([1]Datos!K$24-[1]FFM!H$31-[1]FFM!K$31)*[1]FFM!M20%</f>
        <v>0</v>
      </c>
      <c r="N20" s="237">
        <f t="shared" si="3"/>
        <v>45834.967661208953</v>
      </c>
      <c r="O20" s="39">
        <f t="shared" si="4"/>
        <v>6965411.6716612093</v>
      </c>
      <c r="P20" s="40"/>
    </row>
    <row r="21" spans="1:16" x14ac:dyDescent="0.25">
      <c r="A21" s="280" t="s">
        <v>130</v>
      </c>
      <c r="B21" s="42" t="s">
        <v>56</v>
      </c>
      <c r="C21" s="155">
        <v>2.84</v>
      </c>
      <c r="D21" s="39">
        <f>[1]Datos!K$23*[1]FFM!D21%</f>
        <v>12282248.649599999</v>
      </c>
      <c r="E21" s="39">
        <v>34393</v>
      </c>
      <c r="F21" s="156">
        <f t="shared" si="0"/>
        <v>3.1699231045024834</v>
      </c>
      <c r="G21" s="183">
        <f>(([1]Datos!K$24*0.7)*(0.5))*F21%</f>
        <v>106126.15992825666</v>
      </c>
      <c r="H21" s="39">
        <v>1677324</v>
      </c>
      <c r="I21" s="156">
        <f t="shared" si="1"/>
        <v>0.36120906903854055</v>
      </c>
      <c r="J21" s="183">
        <f>(([1]Datos!K$24*0.7)*(0.5))*[1]FFM!J21%</f>
        <v>12092.953098411926</v>
      </c>
      <c r="K21" s="39">
        <f>'[1]FGP 30%'!I46</f>
        <v>769102</v>
      </c>
      <c r="L21" s="37">
        <f t="shared" si="5"/>
        <v>5.861681742680843</v>
      </c>
      <c r="M21" s="236">
        <f>([1]Datos!K$24-[1]FFM!H$31-[1]FFM!K$31)*[1]FFM!M21%</f>
        <v>168208.97638685076</v>
      </c>
      <c r="N21" s="237">
        <f t="shared" si="3"/>
        <v>286428.08941351937</v>
      </c>
      <c r="O21" s="39">
        <f t="shared" si="4"/>
        <v>12568676.739013519</v>
      </c>
      <c r="P21" s="40"/>
    </row>
    <row r="22" spans="1:16" x14ac:dyDescent="0.25">
      <c r="A22" s="41" t="s">
        <v>131</v>
      </c>
      <c r="B22" s="17" t="s">
        <v>57</v>
      </c>
      <c r="C22" s="155">
        <v>3.33</v>
      </c>
      <c r="D22" s="39">
        <f>[1]Datos!K$23*[1]FFM!D22%</f>
        <v>14401369.015200002</v>
      </c>
      <c r="E22" s="39">
        <v>23469</v>
      </c>
      <c r="F22" s="156">
        <f t="shared" si="0"/>
        <v>2.1630833407835541</v>
      </c>
      <c r="G22" s="183">
        <f>(([1]Datos!K$24*0.7)*(0.5))*F22%</f>
        <v>72418.074822093316</v>
      </c>
      <c r="H22" s="39">
        <v>1510227</v>
      </c>
      <c r="I22" s="156">
        <f t="shared" si="1"/>
        <v>0.32522499451916742</v>
      </c>
      <c r="J22" s="183">
        <f>(([1]Datos!K$24*0.7)*(0.5))*[1]FFM!J22%</f>
        <v>10888.238813106678</v>
      </c>
      <c r="K22" s="39">
        <v>0</v>
      </c>
      <c r="L22" s="37">
        <f t="shared" si="5"/>
        <v>0</v>
      </c>
      <c r="M22" s="236">
        <f>([1]Datos!K$24-[1]FFM!H$31-[1]FFM!K$31)*[1]FFM!M22%</f>
        <v>0</v>
      </c>
      <c r="N22" s="237">
        <f t="shared" si="3"/>
        <v>83306.3136352</v>
      </c>
      <c r="O22" s="39">
        <f t="shared" si="4"/>
        <v>14484675.328835202</v>
      </c>
      <c r="P22" s="40"/>
    </row>
    <row r="23" spans="1:16" x14ac:dyDescent="0.25">
      <c r="A23" s="41" t="s">
        <v>131</v>
      </c>
      <c r="B23" s="17" t="s">
        <v>58</v>
      </c>
      <c r="C23" s="155">
        <v>4.6900000000000004</v>
      </c>
      <c r="D23" s="39">
        <f>[1]Datos!K$23*[1]FFM!D23%</f>
        <v>20283009.213600002</v>
      </c>
      <c r="E23" s="39">
        <v>43120</v>
      </c>
      <c r="F23" s="156">
        <f t="shared" si="0"/>
        <v>3.9742704697510276</v>
      </c>
      <c r="G23" s="183">
        <f>(([1]Datos!K$24*0.7)*(0.5))*F23%</f>
        <v>133054.98258675972</v>
      </c>
      <c r="H23" s="39">
        <v>3494573</v>
      </c>
      <c r="I23" s="156">
        <f t="shared" si="1"/>
        <v>0.75255076539608312</v>
      </c>
      <c r="J23" s="183">
        <f>(([1]Datos!K$24*0.7)*(0.5))*[1]FFM!J23%</f>
        <v>25194.719319568943</v>
      </c>
      <c r="K23" s="39">
        <v>0</v>
      </c>
      <c r="L23" s="37">
        <f t="shared" si="5"/>
        <v>0</v>
      </c>
      <c r="M23" s="236">
        <f>([1]Datos!K$24-[1]FFM!H$31-[1]FFM!K$31)*[1]FFM!M23%</f>
        <v>0</v>
      </c>
      <c r="N23" s="237">
        <f t="shared" si="3"/>
        <v>158249.70190632867</v>
      </c>
      <c r="O23" s="39">
        <f t="shared" si="4"/>
        <v>20441258.915506329</v>
      </c>
      <c r="P23" s="40"/>
    </row>
    <row r="24" spans="1:16" x14ac:dyDescent="0.25">
      <c r="A24" s="280" t="s">
        <v>130</v>
      </c>
      <c r="B24" s="42" t="s">
        <v>59</v>
      </c>
      <c r="C24" s="155">
        <v>2.13</v>
      </c>
      <c r="D24" s="39">
        <f>[1]Datos!K$23*[1]FFM!D24%</f>
        <v>9211686.4871999994</v>
      </c>
      <c r="E24" s="39">
        <v>7510</v>
      </c>
      <c r="F24" s="156">
        <f t="shared" si="0"/>
        <v>0.69217929563613667</v>
      </c>
      <c r="G24" s="183">
        <f>(([1]Datos!K$24*0.7)*(0.5))*F24%</f>
        <v>23173.537087814599</v>
      </c>
      <c r="H24" s="39">
        <v>1113213</v>
      </c>
      <c r="I24" s="156">
        <f t="shared" si="1"/>
        <v>0.23972865789292996</v>
      </c>
      <c r="J24" s="183">
        <f>(([1]Datos!K$24*0.7)*(0.5))*[1]FFM!J24%</f>
        <v>8025.8987515485596</v>
      </c>
      <c r="K24" s="39">
        <f>'[1]FGP 30%'!I49</f>
        <v>663523</v>
      </c>
      <c r="L24" s="37">
        <f t="shared" si="5"/>
        <v>5.0570153958107262</v>
      </c>
      <c r="M24" s="236">
        <f>([1]Datos!K$24-[1]FFM!H$31-[1]FFM!K$31)*[1]FFM!M24%</f>
        <v>145117.97477985025</v>
      </c>
      <c r="N24" s="237">
        <f t="shared" si="3"/>
        <v>176317.41061921342</v>
      </c>
      <c r="O24" s="39">
        <f t="shared" si="4"/>
        <v>9388003.8978192136</v>
      </c>
      <c r="P24" s="40"/>
    </row>
    <row r="25" spans="1:16" x14ac:dyDescent="0.25">
      <c r="A25" s="280" t="s">
        <v>130</v>
      </c>
      <c r="B25" s="42" t="s">
        <v>60</v>
      </c>
      <c r="C25" s="155">
        <v>2.81</v>
      </c>
      <c r="D25" s="39">
        <f>[1]Datos!K$23*[1]FFM!D25%</f>
        <v>12152506.5864</v>
      </c>
      <c r="E25" s="39">
        <v>22412</v>
      </c>
      <c r="F25" s="156">
        <f t="shared" si="0"/>
        <v>2.0656621003724496</v>
      </c>
      <c r="G25" s="183">
        <f>(([1]Datos!K$24*0.7)*(0.5))*F25%</f>
        <v>69156.499761930871</v>
      </c>
      <c r="H25" s="39">
        <v>2194344</v>
      </c>
      <c r="I25" s="156">
        <f t="shared" si="1"/>
        <v>0.4725485078555528</v>
      </c>
      <c r="J25" s="183">
        <f>(([1]Datos!K$24*0.7)*(0.5))*[1]FFM!J25%</f>
        <v>15820.496859152805</v>
      </c>
      <c r="K25" s="39">
        <f>'[1]FGP 30%'!I50</f>
        <v>1253849</v>
      </c>
      <c r="L25" s="37">
        <f t="shared" si="5"/>
        <v>9.5561626304165532</v>
      </c>
      <c r="M25" s="236">
        <f>([1]Datos!K$24-[1]FFM!H$31-[1]FFM!K$31)*[1]FFM!M25%</f>
        <v>274227.1595102814</v>
      </c>
      <c r="N25" s="237">
        <f t="shared" si="3"/>
        <v>359204.1561313651</v>
      </c>
      <c r="O25" s="39">
        <f t="shared" si="4"/>
        <v>12511710.742531365</v>
      </c>
      <c r="P25" s="40"/>
    </row>
    <row r="26" spans="1:16" x14ac:dyDescent="0.25">
      <c r="A26" s="280" t="s">
        <v>130</v>
      </c>
      <c r="B26" s="42" t="s">
        <v>61</v>
      </c>
      <c r="C26" s="155">
        <v>8.34</v>
      </c>
      <c r="D26" s="39">
        <f>[1]Datos!K$23*[1]FFM!D26%</f>
        <v>36068293.569600001</v>
      </c>
      <c r="E26" s="39">
        <v>93074</v>
      </c>
      <c r="F26" s="156">
        <f t="shared" si="0"/>
        <v>8.5784148817626882</v>
      </c>
      <c r="G26" s="183">
        <f>(([1]Datos!K$24*0.7)*(0.5))*F26%</f>
        <v>287197.57535436167</v>
      </c>
      <c r="H26" s="39">
        <v>14203629</v>
      </c>
      <c r="I26" s="156">
        <f t="shared" si="1"/>
        <v>3.0587290279390369</v>
      </c>
      <c r="J26" s="183">
        <f>(([1]Datos!K$24*0.7)*(0.5))*[1]FFM!J26%</f>
        <v>102403.48276435769</v>
      </c>
      <c r="K26" s="39">
        <f>'[1]FGP 30%'!I51</f>
        <v>5539545</v>
      </c>
      <c r="L26" s="37">
        <f t="shared" si="5"/>
        <v>42.21943225899679</v>
      </c>
      <c r="M26" s="236">
        <f>([1]Datos!K$24-[1]FFM!H$31-[1]FFM!K$31)*[1]FFM!M26%</f>
        <v>1211544.3648552431</v>
      </c>
      <c r="N26" s="237">
        <f t="shared" si="3"/>
        <v>1601145.4229739625</v>
      </c>
      <c r="O26" s="39">
        <f t="shared" si="4"/>
        <v>37669438.992573962</v>
      </c>
      <c r="P26" s="40"/>
    </row>
    <row r="27" spans="1:16" x14ac:dyDescent="0.25">
      <c r="A27" s="41" t="s">
        <v>131</v>
      </c>
      <c r="B27" s="17" t="s">
        <v>62</v>
      </c>
      <c r="C27" s="155">
        <v>3.5</v>
      </c>
      <c r="D27" s="39">
        <f>[1]Datos!K$23*[1]FFM!D27%</f>
        <v>15136574.040000001</v>
      </c>
      <c r="E27" s="39">
        <v>39756</v>
      </c>
      <c r="F27" s="156">
        <f t="shared" si="0"/>
        <v>3.6642183857936419</v>
      </c>
      <c r="G27" s="183">
        <f>(([1]Datos!K$24*0.7)*(0.5))*F27%</f>
        <v>122674.71910295036</v>
      </c>
      <c r="H27" s="39">
        <v>9399739</v>
      </c>
      <c r="I27" s="156">
        <f t="shared" si="1"/>
        <v>2.0242189185841628</v>
      </c>
      <c r="J27" s="183">
        <f>(([1]Datos!K$24*0.7)*(0.5))*[1]FFM!J27%</f>
        <v>67769.019500295355</v>
      </c>
      <c r="K27" s="39">
        <v>0</v>
      </c>
      <c r="L27" s="37">
        <f t="shared" si="5"/>
        <v>0</v>
      </c>
      <c r="M27" s="236">
        <f>([1]Datos!K$24-[1]FFM!H$31-[1]FFM!K$31)*[1]FFM!M27%</f>
        <v>0</v>
      </c>
      <c r="N27" s="237">
        <f t="shared" si="3"/>
        <v>190443.7386032457</v>
      </c>
      <c r="O27" s="39">
        <f t="shared" si="4"/>
        <v>15327017.778603246</v>
      </c>
      <c r="P27" s="40"/>
    </row>
    <row r="28" spans="1:16" x14ac:dyDescent="0.25">
      <c r="A28" s="41" t="s">
        <v>131</v>
      </c>
      <c r="B28" s="17" t="s">
        <v>63</v>
      </c>
      <c r="C28" s="155">
        <v>39</v>
      </c>
      <c r="D28" s="39">
        <f>[1]Datos!K$23*[1]FFM!D28%</f>
        <v>168664682.16</v>
      </c>
      <c r="E28" s="39">
        <v>380249</v>
      </c>
      <c r="F28" s="156">
        <f t="shared" si="0"/>
        <v>35.046669106037996</v>
      </c>
      <c r="G28" s="183">
        <f>(([1]Datos!K$24*0.7)*(0.5))*F28%</f>
        <v>1173330.7994812801</v>
      </c>
      <c r="H28" s="39">
        <v>175762046</v>
      </c>
      <c r="I28" s="156">
        <f t="shared" si="1"/>
        <v>37.850078463057315</v>
      </c>
      <c r="J28" s="183">
        <f>(([1]Datos!K$24*0.7)*(0.5))*[1]FFM!J28%</f>
        <v>1267186.4104722282</v>
      </c>
      <c r="K28" s="43">
        <v>0</v>
      </c>
      <c r="L28" s="37">
        <f t="shared" si="5"/>
        <v>0</v>
      </c>
      <c r="M28" s="236">
        <f>([1]Datos!K$24-[1]FFM!H$31-[1]FFM!K$31)*[1]FFM!M28%</f>
        <v>0</v>
      </c>
      <c r="N28" s="237">
        <f t="shared" si="3"/>
        <v>2440517.2099535083</v>
      </c>
      <c r="O28" s="39">
        <f t="shared" si="4"/>
        <v>171105199.36995351</v>
      </c>
      <c r="P28" s="40"/>
    </row>
    <row r="29" spans="1:16" x14ac:dyDescent="0.25">
      <c r="A29" s="44" t="s">
        <v>132</v>
      </c>
      <c r="B29" s="42" t="s">
        <v>64</v>
      </c>
      <c r="C29" s="155">
        <v>3.79</v>
      </c>
      <c r="D29" s="39">
        <f>[1]Datos!K$23*[1]FFM!D29%</f>
        <v>16390747.317600001</v>
      </c>
      <c r="E29" s="39">
        <v>30030</v>
      </c>
      <c r="F29" s="156">
        <f t="shared" si="0"/>
        <v>2.7677955057194654</v>
      </c>
      <c r="G29" s="183">
        <f>(([1]Datos!K$24*0.7)*(0.5))*F29%</f>
        <v>92663.291444350529</v>
      </c>
      <c r="H29" s="39">
        <v>3206891</v>
      </c>
      <c r="I29" s="156">
        <f t="shared" si="1"/>
        <v>0.69059890195220142</v>
      </c>
      <c r="J29" s="183">
        <f>(([1]Datos!K$24*0.7)*(0.5))*[1]FFM!J29%</f>
        <v>23120.626935952336</v>
      </c>
      <c r="K29" s="39">
        <f>'[1]FGP 30%'!I54</f>
        <v>940511</v>
      </c>
      <c r="L29" s="37">
        <f t="shared" si="5"/>
        <v>7.168068939478121</v>
      </c>
      <c r="M29" s="236">
        <f>([1]Datos!K$24-[1]FFM!H$31-[1]FFM!K$31)*[1]FFM!M29%</f>
        <v>205697.54413663389</v>
      </c>
      <c r="N29" s="237">
        <f t="shared" si="3"/>
        <v>321481.46251693676</v>
      </c>
      <c r="O29" s="39">
        <f t="shared" si="4"/>
        <v>16712228.780116938</v>
      </c>
      <c r="P29" s="40"/>
    </row>
    <row r="30" spans="1:16" x14ac:dyDescent="0.25">
      <c r="A30" s="41" t="s">
        <v>131</v>
      </c>
      <c r="B30" s="17" t="s">
        <v>65</v>
      </c>
      <c r="C30" s="157">
        <v>3.1</v>
      </c>
      <c r="D30" s="45">
        <f>[1]Datos!K$23*[1]FFM!D30%</f>
        <v>13406679.864</v>
      </c>
      <c r="E30" s="45">
        <v>49102</v>
      </c>
      <c r="F30" s="10">
        <f t="shared" si="0"/>
        <v>4.5256175465147246</v>
      </c>
      <c r="G30" s="239">
        <f>(([1]Datos!K$24*0.7)*(0.5))*F30%</f>
        <v>151513.58429905091</v>
      </c>
      <c r="H30" s="45">
        <v>24570163</v>
      </c>
      <c r="I30" s="10">
        <f t="shared" si="1"/>
        <v>5.2911457198222847</v>
      </c>
      <c r="J30" s="239">
        <f>(([1]Datos!K$24*0.7)*(0.5))*[1]FFM!J30%</f>
        <v>177142.77550391937</v>
      </c>
      <c r="K30" s="45">
        <v>0</v>
      </c>
      <c r="L30" s="37">
        <f t="shared" si="5"/>
        <v>0</v>
      </c>
      <c r="M30" s="236">
        <f>([1]Datos!K$24-[1]FFM!H$31-[1]FFM!K$31)*[1]FFM!M30%</f>
        <v>0</v>
      </c>
      <c r="N30" s="237">
        <f t="shared" si="3"/>
        <v>328656.35980297031</v>
      </c>
      <c r="O30" s="39">
        <f t="shared" si="4"/>
        <v>13735336.223802971</v>
      </c>
      <c r="P30" s="40"/>
    </row>
    <row r="31" spans="1:16" x14ac:dyDescent="0.25">
      <c r="A31" s="41"/>
      <c r="B31" s="46" t="s">
        <v>66</v>
      </c>
      <c r="C31" s="13">
        <f>SUM(C11:C30)</f>
        <v>100</v>
      </c>
      <c r="D31" s="14">
        <f>SUM(D11:D30)</f>
        <v>432473544.00000006</v>
      </c>
      <c r="E31" s="14">
        <f>SUM(E11:E30)</f>
        <v>1084979</v>
      </c>
      <c r="F31" s="242">
        <f t="shared" si="0"/>
        <v>100</v>
      </c>
      <c r="G31" s="240">
        <f>SUM(G11:G30)</f>
        <v>3347909.5999999996</v>
      </c>
      <c r="H31" s="14">
        <f>SUM(H11:H30)</f>
        <v>464363756</v>
      </c>
      <c r="I31" s="242">
        <f>H31/H$31*100</f>
        <v>100</v>
      </c>
      <c r="J31" s="240">
        <f>SUM(J11:J30)</f>
        <v>3347909.6000000006</v>
      </c>
      <c r="K31" s="14">
        <f>SUM(K11:K30)</f>
        <v>13120842</v>
      </c>
      <c r="L31" s="245">
        <f>SUM(L11:L30)</f>
        <v>99.999999999999986</v>
      </c>
      <c r="M31" s="240">
        <f>([1]Datos!K$24-[1]FFM!H$31-[1]FFM!K$31)*[1]FFM!M31%</f>
        <v>2869636.7999999993</v>
      </c>
      <c r="N31" s="241">
        <f>SUM(N11:N30)</f>
        <v>9565456</v>
      </c>
      <c r="O31" s="14">
        <f>SUM(O11:O30)</f>
        <v>442039000</v>
      </c>
      <c r="P31" s="40"/>
    </row>
    <row r="32" spans="1:16" x14ac:dyDescent="0.25">
      <c r="B32" s="1"/>
      <c r="C32" s="15"/>
      <c r="D32" s="1"/>
      <c r="E32" s="1"/>
      <c r="F32" s="1"/>
      <c r="G32" s="47"/>
      <c r="H32" s="48"/>
      <c r="I32" s="48"/>
      <c r="J32" s="47"/>
      <c r="K32" s="49"/>
      <c r="L32" s="49"/>
      <c r="M32" s="50"/>
      <c r="N32" s="48"/>
    </row>
  </sheetData>
  <mergeCells count="12">
    <mergeCell ref="H8:I8"/>
    <mergeCell ref="K8:L8"/>
    <mergeCell ref="B3:O3"/>
    <mergeCell ref="B4:N4"/>
    <mergeCell ref="A5:A10"/>
    <mergeCell ref="B5:N5"/>
    <mergeCell ref="B6:B10"/>
    <mergeCell ref="C6:D6"/>
    <mergeCell ref="E6:F6"/>
    <mergeCell ref="G6:N6"/>
    <mergeCell ref="H7:I7"/>
    <mergeCell ref="K7:L7"/>
  </mergeCells>
  <printOptions horizontalCentered="1"/>
  <pageMargins left="0.31496062992125984" right="0.70866141732283472" top="0.74803149606299213" bottom="0.74803149606299213" header="0.31496062992125984" footer="0.31496062992125984"/>
  <pageSetup paperSize="5" scale="78" orientation="landscape" r:id="rId1"/>
  <ignoredErrors>
    <ignoredError sqref="C10:F10 D9 H10:I10 J9 K10:L10 M9 G9" numberStoredAsText="1"/>
    <ignoredError sqref="F31 I31 M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.5703125" customWidth="1"/>
    <col min="2" max="2" width="21.7109375" customWidth="1"/>
    <col min="3" max="3" width="14.85546875" customWidth="1"/>
    <col min="4" max="4" width="20" customWidth="1"/>
    <col min="5" max="5" width="13.140625" style="2" customWidth="1"/>
    <col min="6" max="6" width="16.5703125" style="54" customWidth="1"/>
    <col min="7" max="7" width="19.7109375" style="54" bestFit="1" customWidth="1"/>
    <col min="8" max="8" width="18.42578125" customWidth="1"/>
    <col min="9" max="9" width="19" customWidth="1"/>
    <col min="10" max="10" width="12.85546875" customWidth="1"/>
  </cols>
  <sheetData>
    <row r="2" spans="2:8" x14ac:dyDescent="0.25">
      <c r="B2" s="1"/>
      <c r="C2" s="1"/>
      <c r="D2" s="1"/>
      <c r="G2" s="274" t="s">
        <v>133</v>
      </c>
    </row>
    <row r="3" spans="2:8" x14ac:dyDescent="0.25">
      <c r="B3" s="1"/>
      <c r="C3" s="1"/>
      <c r="D3" s="1"/>
      <c r="E3" s="16"/>
    </row>
    <row r="4" spans="2:8" x14ac:dyDescent="0.25">
      <c r="B4" s="349" t="s">
        <v>134</v>
      </c>
      <c r="C4" s="349"/>
      <c r="D4" s="349"/>
      <c r="E4" s="349"/>
      <c r="F4" s="349"/>
      <c r="G4" s="349"/>
    </row>
    <row r="5" spans="2:8" x14ac:dyDescent="0.25">
      <c r="B5" s="350" t="s">
        <v>72</v>
      </c>
      <c r="C5" s="22" t="s">
        <v>104</v>
      </c>
      <c r="D5" s="22" t="s">
        <v>135</v>
      </c>
      <c r="E5" s="350" t="s">
        <v>136</v>
      </c>
      <c r="F5" s="159" t="s">
        <v>137</v>
      </c>
      <c r="G5" s="159" t="s">
        <v>76</v>
      </c>
    </row>
    <row r="6" spans="2:8" x14ac:dyDescent="0.25">
      <c r="B6" s="351"/>
      <c r="C6" s="5" t="s">
        <v>76</v>
      </c>
      <c r="D6" s="5" t="s">
        <v>30</v>
      </c>
      <c r="E6" s="353"/>
      <c r="F6" s="27" t="s">
        <v>138</v>
      </c>
      <c r="G6" s="27" t="s">
        <v>139</v>
      </c>
    </row>
    <row r="7" spans="2:8" x14ac:dyDescent="0.25">
      <c r="B7" s="351"/>
      <c r="C7" s="52">
        <v>2014</v>
      </c>
      <c r="D7" s="52" t="s">
        <v>37</v>
      </c>
      <c r="E7" s="353"/>
      <c r="F7" s="27"/>
      <c r="G7" s="27" t="s">
        <v>140</v>
      </c>
    </row>
    <row r="8" spans="2:8" x14ac:dyDescent="0.25">
      <c r="B8" s="351"/>
      <c r="C8" s="52"/>
      <c r="D8" s="52"/>
      <c r="E8" s="353"/>
      <c r="F8" s="27" t="s">
        <v>141</v>
      </c>
      <c r="G8" s="27" t="s">
        <v>72</v>
      </c>
    </row>
    <row r="9" spans="2:8" x14ac:dyDescent="0.25">
      <c r="B9" s="352"/>
      <c r="C9" s="30" t="s">
        <v>82</v>
      </c>
      <c r="D9" s="30" t="s">
        <v>83</v>
      </c>
      <c r="E9" s="354"/>
      <c r="F9" s="30" t="s">
        <v>142</v>
      </c>
      <c r="G9" s="30" t="s">
        <v>143</v>
      </c>
    </row>
    <row r="10" spans="2:8" x14ac:dyDescent="0.25">
      <c r="B10" s="160" t="s">
        <v>46</v>
      </c>
      <c r="C10" s="155">
        <v>3.94</v>
      </c>
      <c r="D10" s="161">
        <f>[1]Datos!K$49*'[1]IEPS TyA (2)'!C10%*22.5%</f>
        <v>812034</v>
      </c>
      <c r="E10" s="156">
        <v>0.05</v>
      </c>
      <c r="F10" s="162">
        <f>[1]Datos!$K$50*'[1]IEPS TyA (2)'!E10*22.5%</f>
        <v>117000</v>
      </c>
      <c r="G10" s="163">
        <f t="shared" ref="G10:G29" si="0">D10+F10</f>
        <v>929034</v>
      </c>
      <c r="H10" s="40"/>
    </row>
    <row r="11" spans="2:8" x14ac:dyDescent="0.25">
      <c r="B11" s="160" t="s">
        <v>47</v>
      </c>
      <c r="C11" s="155">
        <v>5.78</v>
      </c>
      <c r="D11" s="161">
        <f>[1]Datos!K$49*'[1]IEPS TyA (2)'!C11%*22.5%</f>
        <v>1191258</v>
      </c>
      <c r="E11" s="156">
        <v>0.05</v>
      </c>
      <c r="F11" s="162">
        <f>[1]Datos!$K$50*'[1]IEPS TyA (2)'!E11*22.5%</f>
        <v>117000</v>
      </c>
      <c r="G11" s="163">
        <f t="shared" si="0"/>
        <v>1308258</v>
      </c>
      <c r="H11" s="40"/>
    </row>
    <row r="12" spans="2:8" x14ac:dyDescent="0.25">
      <c r="B12" s="160" t="s">
        <v>48</v>
      </c>
      <c r="C12" s="155">
        <v>6.12</v>
      </c>
      <c r="D12" s="161">
        <f>[1]Datos!K$49*'[1]IEPS TyA (2)'!C12%*22.5%</f>
        <v>1261332</v>
      </c>
      <c r="E12" s="156">
        <v>0.05</v>
      </c>
      <c r="F12" s="162">
        <f>[1]Datos!$K$50*'[1]IEPS TyA (2)'!E12*22.5%</f>
        <v>117000</v>
      </c>
      <c r="G12" s="163">
        <f t="shared" si="0"/>
        <v>1378332</v>
      </c>
      <c r="H12" s="40"/>
    </row>
    <row r="13" spans="2:8" x14ac:dyDescent="0.25">
      <c r="B13" s="160" t="s">
        <v>49</v>
      </c>
      <c r="C13" s="155">
        <v>5.08</v>
      </c>
      <c r="D13" s="161">
        <f>[1]Datos!K$49*'[1]IEPS TyA (2)'!C13%*22.5%</f>
        <v>1046988</v>
      </c>
      <c r="E13" s="156">
        <v>0.05</v>
      </c>
      <c r="F13" s="162">
        <f>[1]Datos!$K$50*'[1]IEPS TyA (2)'!E13*22.5%</f>
        <v>117000</v>
      </c>
      <c r="G13" s="163">
        <f t="shared" si="0"/>
        <v>1163988</v>
      </c>
      <c r="H13" s="40"/>
    </row>
    <row r="14" spans="2:8" x14ac:dyDescent="0.25">
      <c r="B14" s="160" t="s">
        <v>50</v>
      </c>
      <c r="C14" s="155">
        <v>3.07</v>
      </c>
      <c r="D14" s="161">
        <f>[1]Datos!K$49*'[1]IEPS TyA (2)'!C14%*22.5%</f>
        <v>632727</v>
      </c>
      <c r="E14" s="156">
        <v>0.05</v>
      </c>
      <c r="F14" s="162">
        <f>[1]Datos!$K$50*'[1]IEPS TyA (2)'!E14*22.5%</f>
        <v>117000</v>
      </c>
      <c r="G14" s="163">
        <f t="shared" si="0"/>
        <v>749727</v>
      </c>
      <c r="H14" s="40"/>
    </row>
    <row r="15" spans="2:8" x14ac:dyDescent="0.25">
      <c r="B15" s="160" t="s">
        <v>51</v>
      </c>
      <c r="C15" s="155">
        <v>9.51</v>
      </c>
      <c r="D15" s="161">
        <f>[1]Datos!K$49*'[1]IEPS TyA (2)'!C15%*22.5%</f>
        <v>1960011</v>
      </c>
      <c r="E15" s="156">
        <v>0.05</v>
      </c>
      <c r="F15" s="162">
        <f>[1]Datos!$K$50*'[1]IEPS TyA (2)'!E15*22.5%</f>
        <v>117000</v>
      </c>
      <c r="G15" s="163">
        <f t="shared" si="0"/>
        <v>2077011</v>
      </c>
      <c r="H15" s="40"/>
    </row>
    <row r="16" spans="2:8" x14ac:dyDescent="0.25">
      <c r="B16" s="160" t="s">
        <v>52</v>
      </c>
      <c r="C16" s="155">
        <v>9.33</v>
      </c>
      <c r="D16" s="161">
        <f>[1]Datos!K$49*'[1]IEPS TyA (2)'!C16%*22.5%</f>
        <v>1922913</v>
      </c>
      <c r="E16" s="156">
        <v>0.05</v>
      </c>
      <c r="F16" s="162">
        <f>[1]Datos!$K$50*'[1]IEPS TyA (2)'!E16*22.5%</f>
        <v>117000</v>
      </c>
      <c r="G16" s="163">
        <f t="shared" si="0"/>
        <v>2039913</v>
      </c>
      <c r="H16" s="40"/>
    </row>
    <row r="17" spans="2:8" x14ac:dyDescent="0.25">
      <c r="B17" s="160" t="s">
        <v>53</v>
      </c>
      <c r="C17" s="155">
        <v>4.5199999999999996</v>
      </c>
      <c r="D17" s="161">
        <f>[1]Datos!K$49*'[1]IEPS TyA (2)'!C17%*22.5%</f>
        <v>931571.99999999988</v>
      </c>
      <c r="E17" s="156">
        <v>0.05</v>
      </c>
      <c r="F17" s="162">
        <f>[1]Datos!$K$50*'[1]IEPS TyA (2)'!E17*22.5%</f>
        <v>117000</v>
      </c>
      <c r="G17" s="163">
        <f t="shared" si="0"/>
        <v>1048571.9999999999</v>
      </c>
      <c r="H17" s="40"/>
    </row>
    <row r="18" spans="2:8" x14ac:dyDescent="0.25">
      <c r="B18" s="160" t="s">
        <v>54</v>
      </c>
      <c r="C18" s="155">
        <v>5.08</v>
      </c>
      <c r="D18" s="161">
        <f>[1]Datos!K$49*'[1]IEPS TyA (2)'!C18%*22.5%</f>
        <v>1046988</v>
      </c>
      <c r="E18" s="156">
        <v>0.05</v>
      </c>
      <c r="F18" s="162">
        <f>[1]Datos!$K$50*'[1]IEPS TyA (2)'!E18*22.5%</f>
        <v>117000</v>
      </c>
      <c r="G18" s="163">
        <f t="shared" si="0"/>
        <v>1163988</v>
      </c>
      <c r="H18" s="40"/>
    </row>
    <row r="19" spans="2:8" x14ac:dyDescent="0.25">
      <c r="B19" s="160" t="s">
        <v>55</v>
      </c>
      <c r="C19" s="155">
        <v>8.92</v>
      </c>
      <c r="D19" s="161">
        <f>[1]Datos!K$49*'[1]IEPS TyA (2)'!C19%*22.5%</f>
        <v>1838412</v>
      </c>
      <c r="E19" s="156">
        <v>0.05</v>
      </c>
      <c r="F19" s="162">
        <f>[1]Datos!$K$50*'[1]IEPS TyA (2)'!E19*22.5%</f>
        <v>117000</v>
      </c>
      <c r="G19" s="163">
        <f t="shared" si="0"/>
        <v>1955412</v>
      </c>
      <c r="H19" s="40"/>
    </row>
    <row r="20" spans="2:8" x14ac:dyDescent="0.25">
      <c r="B20" s="160" t="s">
        <v>56</v>
      </c>
      <c r="C20" s="155">
        <v>5.0199999999999996</v>
      </c>
      <c r="D20" s="161">
        <f>[1]Datos!K$49*'[1]IEPS TyA (2)'!C20%*22.5%</f>
        <v>1034621.9999999998</v>
      </c>
      <c r="E20" s="156">
        <v>0.05</v>
      </c>
      <c r="F20" s="162">
        <f>[1]Datos!$K$50*'[1]IEPS TyA (2)'!E20*22.5%</f>
        <v>117000</v>
      </c>
      <c r="G20" s="163">
        <f t="shared" si="0"/>
        <v>1151621.9999999998</v>
      </c>
      <c r="H20" s="40"/>
    </row>
    <row r="21" spans="2:8" x14ac:dyDescent="0.25">
      <c r="B21" s="160" t="s">
        <v>57</v>
      </c>
      <c r="C21" s="155">
        <v>4.29</v>
      </c>
      <c r="D21" s="161">
        <f>[1]Datos!K$49*'[1]IEPS TyA (2)'!C21%*22.5%</f>
        <v>884169</v>
      </c>
      <c r="E21" s="156">
        <v>0.05</v>
      </c>
      <c r="F21" s="162">
        <f>[1]Datos!$K$50*'[1]IEPS TyA (2)'!E21*22.5%</f>
        <v>117000</v>
      </c>
      <c r="G21" s="163">
        <f t="shared" si="0"/>
        <v>1001169</v>
      </c>
      <c r="H21" s="40"/>
    </row>
    <row r="22" spans="2:8" x14ac:dyDescent="0.25">
      <c r="B22" s="160" t="s">
        <v>58</v>
      </c>
      <c r="C22" s="155">
        <v>3.04</v>
      </c>
      <c r="D22" s="161">
        <f>[1]Datos!K$49*'[1]IEPS TyA (2)'!C22%*22.5%</f>
        <v>626544</v>
      </c>
      <c r="E22" s="156">
        <v>0.05</v>
      </c>
      <c r="F22" s="162">
        <f>[1]Datos!$K$50*'[1]IEPS TyA (2)'!E22*22.5%</f>
        <v>117000</v>
      </c>
      <c r="G22" s="163">
        <f t="shared" si="0"/>
        <v>743544</v>
      </c>
      <c r="H22" s="40"/>
    </row>
    <row r="23" spans="2:8" x14ac:dyDescent="0.25">
      <c r="B23" s="160" t="s">
        <v>59</v>
      </c>
      <c r="C23" s="155">
        <v>6.7</v>
      </c>
      <c r="D23" s="161">
        <f>[1]Datos!K$49*'[1]IEPS TyA (2)'!C23%*22.5%</f>
        <v>1380870</v>
      </c>
      <c r="E23" s="156">
        <v>0.05</v>
      </c>
      <c r="F23" s="162">
        <f>[1]Datos!$K$50*'[1]IEPS TyA (2)'!E23*22.5%</f>
        <v>117000</v>
      </c>
      <c r="G23" s="163">
        <f t="shared" si="0"/>
        <v>1497870</v>
      </c>
      <c r="H23" s="40"/>
    </row>
    <row r="24" spans="2:8" x14ac:dyDescent="0.25">
      <c r="B24" s="160" t="s">
        <v>60</v>
      </c>
      <c r="C24" s="155">
        <v>5.08</v>
      </c>
      <c r="D24" s="161">
        <f>[1]Datos!K$49*'[1]IEPS TyA (2)'!C24%*22.5%</f>
        <v>1046988</v>
      </c>
      <c r="E24" s="156">
        <v>0.05</v>
      </c>
      <c r="F24" s="162">
        <f>[1]Datos!$K$50*'[1]IEPS TyA (2)'!E24*22.5%</f>
        <v>117000</v>
      </c>
      <c r="G24" s="163">
        <f t="shared" si="0"/>
        <v>1163988</v>
      </c>
      <c r="H24" s="40"/>
    </row>
    <row r="25" spans="2:8" x14ac:dyDescent="0.25">
      <c r="B25" s="160" t="s">
        <v>61</v>
      </c>
      <c r="C25" s="155">
        <v>1.7</v>
      </c>
      <c r="D25" s="161">
        <f>[1]Datos!K$49*'[1]IEPS TyA (2)'!C25%*22.5%</f>
        <v>350370</v>
      </c>
      <c r="E25" s="156">
        <v>0.05</v>
      </c>
      <c r="F25" s="162">
        <f>[1]Datos!$K$50*'[1]IEPS TyA (2)'!E25*22.5%</f>
        <v>117000</v>
      </c>
      <c r="G25" s="163">
        <f t="shared" si="0"/>
        <v>467370</v>
      </c>
      <c r="H25" s="40"/>
    </row>
    <row r="26" spans="2:8" x14ac:dyDescent="0.25">
      <c r="B26" s="160" t="s">
        <v>62</v>
      </c>
      <c r="C26" s="155">
        <v>4.08</v>
      </c>
      <c r="D26" s="161">
        <f>[1]Datos!K$49*'[1]IEPS TyA (2)'!C26%*22.5%</f>
        <v>840888.00000000012</v>
      </c>
      <c r="E26" s="156">
        <v>0.05</v>
      </c>
      <c r="F26" s="162">
        <f>[1]Datos!$K$50*'[1]IEPS TyA (2)'!E26*22.5%</f>
        <v>117000</v>
      </c>
      <c r="G26" s="163">
        <f t="shared" si="0"/>
        <v>957888.00000000012</v>
      </c>
      <c r="H26" s="40"/>
    </row>
    <row r="27" spans="2:8" x14ac:dyDescent="0.25">
      <c r="B27" s="160" t="s">
        <v>63</v>
      </c>
      <c r="C27" s="155">
        <v>0.37</v>
      </c>
      <c r="D27" s="161">
        <f>[1]Datos!K$49*'[1]IEPS TyA (2)'!C27%*22.5%</f>
        <v>76257</v>
      </c>
      <c r="E27" s="156">
        <v>0.05</v>
      </c>
      <c r="F27" s="162">
        <f>[1]Datos!$K$50*'[1]IEPS TyA (2)'!E27*22.5%</f>
        <v>117000</v>
      </c>
      <c r="G27" s="163">
        <f t="shared" si="0"/>
        <v>193257</v>
      </c>
      <c r="H27" s="40"/>
    </row>
    <row r="28" spans="2:8" x14ac:dyDescent="0.25">
      <c r="B28" s="160" t="s">
        <v>64</v>
      </c>
      <c r="C28" s="155">
        <v>3.77</v>
      </c>
      <c r="D28" s="161">
        <f>[1]Datos!K$49*'[1]IEPS TyA (2)'!C28%*22.5%</f>
        <v>776996.99999999988</v>
      </c>
      <c r="E28" s="156">
        <v>0.05</v>
      </c>
      <c r="F28" s="162">
        <f>[1]Datos!$K$50*'[1]IEPS TyA (2)'!E28*22.5%</f>
        <v>117000</v>
      </c>
      <c r="G28" s="163">
        <f t="shared" si="0"/>
        <v>893996.99999999988</v>
      </c>
      <c r="H28" s="40"/>
    </row>
    <row r="29" spans="2:8" x14ac:dyDescent="0.25">
      <c r="B29" s="170" t="s">
        <v>65</v>
      </c>
      <c r="C29" s="157">
        <v>4.5999999999999996</v>
      </c>
      <c r="D29" s="171">
        <f>[1]Datos!K$49*'[1]IEPS TyA (2)'!C29%*22.5%</f>
        <v>948060</v>
      </c>
      <c r="E29" s="10">
        <v>0.05</v>
      </c>
      <c r="F29" s="172">
        <f>[1]Datos!$K$50*'[1]IEPS TyA (2)'!E29*22.5%</f>
        <v>117000</v>
      </c>
      <c r="G29" s="169">
        <f t="shared" si="0"/>
        <v>1065060</v>
      </c>
      <c r="H29" s="40"/>
    </row>
    <row r="30" spans="2:8" x14ac:dyDescent="0.25">
      <c r="B30" s="164" t="s">
        <v>66</v>
      </c>
      <c r="C30" s="165">
        <f t="shared" ref="C30:G30" si="1">SUM(C10:C29)</f>
        <v>100</v>
      </c>
      <c r="D30" s="166">
        <f>[1]Datos!K$49*'[1]IEPS TyA (2)'!C30%*22.5%</f>
        <v>20610000</v>
      </c>
      <c r="E30" s="246">
        <v>100</v>
      </c>
      <c r="F30" s="168">
        <f>[1]Datos!L50</f>
        <v>2340000</v>
      </c>
      <c r="G30" s="169">
        <f t="shared" si="1"/>
        <v>22950000</v>
      </c>
      <c r="H30" s="40"/>
    </row>
    <row r="31" spans="2:8" x14ac:dyDescent="0.25">
      <c r="B31" s="1"/>
      <c r="C31" s="1"/>
      <c r="D31" s="1"/>
      <c r="E31" s="16"/>
    </row>
  </sheetData>
  <mergeCells count="3">
    <mergeCell ref="B4:G4"/>
    <mergeCell ref="B5:B9"/>
    <mergeCell ref="E5:E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9:D9 D7 F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selection activeCell="B2" sqref="B2"/>
    </sheetView>
  </sheetViews>
  <sheetFormatPr baseColWidth="10" defaultColWidth="11.42578125" defaultRowHeight="14.25" x14ac:dyDescent="0.2"/>
  <cols>
    <col min="1" max="1" width="3.5703125" style="1" customWidth="1"/>
    <col min="2" max="2" width="20.42578125" style="1" customWidth="1"/>
    <col min="3" max="3" width="19" style="1" customWidth="1"/>
    <col min="4" max="4" width="17" style="1" customWidth="1"/>
    <col min="5" max="5" width="15.5703125" style="1" customWidth="1"/>
    <col min="6" max="6" width="13.85546875" style="1" customWidth="1"/>
    <col min="7" max="7" width="14.85546875" style="1" customWidth="1"/>
    <col min="8" max="8" width="14.42578125" style="16" customWidth="1"/>
    <col min="9" max="9" width="11.5703125" style="1" bestFit="1" customWidth="1"/>
    <col min="10" max="16384" width="11.42578125" style="1"/>
  </cols>
  <sheetData>
    <row r="2" spans="2:10" x14ac:dyDescent="0.2">
      <c r="H2" s="274" t="s">
        <v>144</v>
      </c>
    </row>
    <row r="4" spans="2:10" ht="15" x14ac:dyDescent="0.25">
      <c r="B4" s="349" t="s">
        <v>145</v>
      </c>
      <c r="C4" s="349"/>
      <c r="D4" s="349"/>
      <c r="E4" s="349"/>
      <c r="F4" s="349"/>
      <c r="G4" s="349"/>
      <c r="H4" s="349"/>
    </row>
    <row r="5" spans="2:10" ht="15" x14ac:dyDescent="0.25">
      <c r="B5" s="350" t="s">
        <v>72</v>
      </c>
      <c r="C5" s="22" t="s">
        <v>104</v>
      </c>
      <c r="D5" s="22" t="s">
        <v>19</v>
      </c>
      <c r="E5" s="350" t="s">
        <v>20</v>
      </c>
      <c r="F5" s="350"/>
      <c r="G5" s="268" t="s">
        <v>146</v>
      </c>
      <c r="H5" s="268" t="s">
        <v>76</v>
      </c>
      <c r="I5" s="267"/>
      <c r="J5" s="267"/>
    </row>
    <row r="6" spans="2:10" ht="15" x14ac:dyDescent="0.25">
      <c r="B6" s="351"/>
      <c r="C6" s="5" t="s">
        <v>76</v>
      </c>
      <c r="D6" s="5" t="s">
        <v>30</v>
      </c>
      <c r="E6" s="352">
        <v>2010</v>
      </c>
      <c r="F6" s="352"/>
      <c r="G6" s="269"/>
      <c r="H6" s="269" t="s">
        <v>147</v>
      </c>
      <c r="I6" s="267"/>
      <c r="J6" s="267"/>
    </row>
    <row r="7" spans="2:10" ht="30" x14ac:dyDescent="0.25">
      <c r="B7" s="351"/>
      <c r="C7" s="52">
        <v>2014</v>
      </c>
      <c r="D7" s="52" t="s">
        <v>148</v>
      </c>
      <c r="E7" s="5" t="s">
        <v>39</v>
      </c>
      <c r="F7" s="5" t="s">
        <v>38</v>
      </c>
      <c r="G7" s="269" t="s">
        <v>149</v>
      </c>
      <c r="H7" s="269" t="s">
        <v>150</v>
      </c>
      <c r="I7" s="267"/>
      <c r="J7" s="267"/>
    </row>
    <row r="8" spans="2:10" ht="15" x14ac:dyDescent="0.25">
      <c r="B8" s="352"/>
      <c r="C8" s="30" t="s">
        <v>82</v>
      </c>
      <c r="D8" s="30" t="s">
        <v>83</v>
      </c>
      <c r="E8" s="30" t="s">
        <v>85</v>
      </c>
      <c r="F8" s="30" t="s">
        <v>86</v>
      </c>
      <c r="G8" s="30" t="s">
        <v>87</v>
      </c>
      <c r="H8" s="30" t="s">
        <v>88</v>
      </c>
      <c r="I8" s="55"/>
      <c r="J8" s="267"/>
    </row>
    <row r="9" spans="2:10" x14ac:dyDescent="0.2">
      <c r="B9" s="160" t="s">
        <v>46</v>
      </c>
      <c r="C9" s="155">
        <v>3.65</v>
      </c>
      <c r="D9" s="161">
        <f>[1]Datos!K$54*'[1]IEPS GyD'!C9%*22.5%</f>
        <v>1418873.625</v>
      </c>
      <c r="E9" s="39">
        <v>36572</v>
      </c>
      <c r="F9" s="173">
        <v>3.3707564846877225</v>
      </c>
      <c r="G9" s="279">
        <f>[1]Datos!K$55*'[1]IEPS GyD'!F9%*22.5%</f>
        <v>259000.50139219288</v>
      </c>
      <c r="H9" s="279">
        <f>D9+G9</f>
        <v>1677874.1263921929</v>
      </c>
      <c r="I9" s="56"/>
      <c r="J9" s="37"/>
    </row>
    <row r="10" spans="2:10" x14ac:dyDescent="0.2">
      <c r="B10" s="160" t="s">
        <v>47</v>
      </c>
      <c r="C10" s="155">
        <v>1.49</v>
      </c>
      <c r="D10" s="161">
        <f>[1]Datos!K$54*'[1]IEPS GyD'!C10%*22.5%</f>
        <v>579211.42500000005</v>
      </c>
      <c r="E10" s="158">
        <v>15229</v>
      </c>
      <c r="F10" s="173">
        <v>1.4036216369164749</v>
      </c>
      <c r="G10" s="279">
        <f>[1]Datos!K$55*'[1]IEPS GyD'!F10%*22.5%</f>
        <v>107850.77752656964</v>
      </c>
      <c r="H10" s="279">
        <f t="shared" ref="H10:H29" si="0">D10+G10</f>
        <v>687062.20252656972</v>
      </c>
      <c r="I10" s="56"/>
      <c r="J10" s="37"/>
    </row>
    <row r="11" spans="2:10" x14ac:dyDescent="0.2">
      <c r="B11" s="160" t="s">
        <v>48</v>
      </c>
      <c r="C11" s="155">
        <v>1.0900000000000001</v>
      </c>
      <c r="D11" s="161">
        <f>[1]Datos!K$54*'[1]IEPS GyD'!C11%*22.5%</f>
        <v>423718.42499999999</v>
      </c>
      <c r="E11" s="39">
        <v>11188</v>
      </c>
      <c r="F11" s="173">
        <v>1.0311720319010782</v>
      </c>
      <c r="G11" s="279">
        <f>[1]Datos!K$55*'[1]IEPS GyD'!F11%*22.5%</f>
        <v>79232.681001199089</v>
      </c>
      <c r="H11" s="279">
        <f t="shared" si="0"/>
        <v>502951.10600119911</v>
      </c>
      <c r="I11" s="56"/>
      <c r="J11" s="37"/>
    </row>
    <row r="12" spans="2:10" x14ac:dyDescent="0.2">
      <c r="B12" s="160" t="s">
        <v>49</v>
      </c>
      <c r="C12" s="155">
        <v>8.82</v>
      </c>
      <c r="D12" s="161">
        <f>[1]Datos!K$54*'[1]IEPS GyD'!C12%*22.5%</f>
        <v>3428620.65</v>
      </c>
      <c r="E12" s="39">
        <v>124205</v>
      </c>
      <c r="F12" s="173">
        <v>11.447687005923617</v>
      </c>
      <c r="G12" s="279">
        <f>[1]Datos!K$55*'[1]IEPS GyD'!F12%*22.5%</f>
        <v>879611.65031765599</v>
      </c>
      <c r="H12" s="279">
        <f t="shared" si="0"/>
        <v>4308232.3003176562</v>
      </c>
      <c r="I12" s="57"/>
      <c r="J12" s="37"/>
    </row>
    <row r="13" spans="2:10" x14ac:dyDescent="0.2">
      <c r="B13" s="160" t="s">
        <v>50</v>
      </c>
      <c r="C13" s="155">
        <v>6.63</v>
      </c>
      <c r="D13" s="161">
        <f>[1]Datos!K$54*'[1]IEPS GyD'!C13%*22.5%</f>
        <v>2577296.4750000001</v>
      </c>
      <c r="E13" s="39">
        <v>70399</v>
      </c>
      <c r="F13" s="173">
        <v>6.4885126808905982</v>
      </c>
      <c r="G13" s="279">
        <f>[1]Datos!K$55*'[1]IEPS GyD'!F13%*22.5%</f>
        <v>498561.09311793139</v>
      </c>
      <c r="H13" s="279">
        <f t="shared" si="0"/>
        <v>3075857.5681179315</v>
      </c>
      <c r="I13" s="56"/>
      <c r="J13" s="37"/>
    </row>
    <row r="14" spans="2:10" x14ac:dyDescent="0.2">
      <c r="B14" s="160" t="s">
        <v>51</v>
      </c>
      <c r="C14" s="155">
        <v>3.22</v>
      </c>
      <c r="D14" s="161">
        <f>[1]Datos!K$54*'[1]IEPS GyD'!C14%*22.5%</f>
        <v>1251718.6500000001</v>
      </c>
      <c r="E14" s="39">
        <v>34300</v>
      </c>
      <c r="F14" s="173">
        <v>3.1613515100292262</v>
      </c>
      <c r="G14" s="279">
        <f>[1]Datos!K$55*'[1]IEPS GyD'!F14%*22.5%</f>
        <v>242910.34665187067</v>
      </c>
      <c r="H14" s="279">
        <f t="shared" si="0"/>
        <v>1494628.9966518709</v>
      </c>
      <c r="I14" s="56"/>
      <c r="J14" s="37"/>
    </row>
    <row r="15" spans="2:10" x14ac:dyDescent="0.2">
      <c r="B15" s="160" t="s">
        <v>52</v>
      </c>
      <c r="C15" s="155">
        <v>1.1100000000000001</v>
      </c>
      <c r="D15" s="161">
        <f>[1]Datos!K$54*'[1]IEPS GyD'!C15%*22.5%</f>
        <v>431493.07500000001</v>
      </c>
      <c r="E15" s="39">
        <v>11400</v>
      </c>
      <c r="F15" s="173">
        <v>1.050711580592804</v>
      </c>
      <c r="G15" s="279">
        <f>[1]Datos!K$55*'[1]IEPS GyD'!F15%*22.5%</f>
        <v>80734.051073799579</v>
      </c>
      <c r="H15" s="279">
        <f t="shared" si="0"/>
        <v>512227.12607379956</v>
      </c>
      <c r="I15" s="56"/>
      <c r="J15" s="37"/>
    </row>
    <row r="16" spans="2:10" x14ac:dyDescent="0.2">
      <c r="B16" s="160" t="s">
        <v>53</v>
      </c>
      <c r="C16" s="155">
        <v>2.71</v>
      </c>
      <c r="D16" s="161">
        <f>[1]Datos!K$54*'[1]IEPS GyD'!C16%*22.5%</f>
        <v>1053465.075</v>
      </c>
      <c r="E16" s="39">
        <v>27273</v>
      </c>
      <c r="F16" s="173">
        <v>2.5136892050445216</v>
      </c>
      <c r="G16" s="279">
        <f>[1]Datos!K$55*'[1]IEPS GyD'!F16%*22.5%</f>
        <v>193145.59429260844</v>
      </c>
      <c r="H16" s="279">
        <f t="shared" si="0"/>
        <v>1246610.6692926083</v>
      </c>
      <c r="I16" s="56"/>
      <c r="J16" s="37"/>
    </row>
    <row r="17" spans="2:10" x14ac:dyDescent="0.2">
      <c r="B17" s="160" t="s">
        <v>54</v>
      </c>
      <c r="C17" s="155">
        <v>1.69</v>
      </c>
      <c r="D17" s="161">
        <f>[1]Datos!K$54*'[1]IEPS GyD'!C17%*22.5%</f>
        <v>656957.92499999993</v>
      </c>
      <c r="E17" s="39">
        <v>17698</v>
      </c>
      <c r="F17" s="173">
        <v>1.6311836450290742</v>
      </c>
      <c r="G17" s="279">
        <f>[1]Datos!K$55*'[1]IEPS GyD'!F17%*22.5%</f>
        <v>125336.0733249215</v>
      </c>
      <c r="H17" s="279">
        <f t="shared" si="0"/>
        <v>782293.99832492147</v>
      </c>
      <c r="I17" s="56"/>
      <c r="J17" s="37"/>
    </row>
    <row r="18" spans="2:10" x14ac:dyDescent="0.2">
      <c r="B18" s="160" t="s">
        <v>55</v>
      </c>
      <c r="C18" s="155">
        <v>1.27</v>
      </c>
      <c r="D18" s="161">
        <f>[1]Datos!K$54*'[1]IEPS GyD'!C18%*22.5%</f>
        <v>493690.27500000002</v>
      </c>
      <c r="E18" s="39">
        <v>13600</v>
      </c>
      <c r="F18" s="173">
        <v>1.2534804821107137</v>
      </c>
      <c r="G18" s="279">
        <f>[1]Datos!K$55*'[1]IEPS GyD'!F18%*22.5%</f>
        <v>96314.306544181978</v>
      </c>
      <c r="H18" s="279">
        <f t="shared" si="0"/>
        <v>590004.58154418203</v>
      </c>
      <c r="I18" s="56"/>
      <c r="J18" s="37"/>
    </row>
    <row r="19" spans="2:10" x14ac:dyDescent="0.2">
      <c r="B19" s="160" t="s">
        <v>56</v>
      </c>
      <c r="C19" s="155">
        <v>3.39</v>
      </c>
      <c r="D19" s="161">
        <f>[1]Datos!K$54*'[1]IEPS GyD'!C19%*22.5%</f>
        <v>1317803.175</v>
      </c>
      <c r="E19" s="39">
        <v>34393</v>
      </c>
      <c r="F19" s="173">
        <v>3.1699231045024834</v>
      </c>
      <c r="G19" s="279">
        <f>[1]Datos!K$55*'[1]IEPS GyD'!F19%*22.5%</f>
        <v>243568.96654220953</v>
      </c>
      <c r="H19" s="279">
        <f t="shared" si="0"/>
        <v>1561372.1415422095</v>
      </c>
      <c r="I19" s="56"/>
      <c r="J19" s="37"/>
    </row>
    <row r="20" spans="2:10" x14ac:dyDescent="0.2">
      <c r="B20" s="160" t="s">
        <v>57</v>
      </c>
      <c r="C20" s="155">
        <v>2.21</v>
      </c>
      <c r="D20" s="161">
        <f>[1]Datos!K$54*'[1]IEPS GyD'!C20%*22.5%</f>
        <v>859098.82499999995</v>
      </c>
      <c r="E20" s="39">
        <v>23469</v>
      </c>
      <c r="F20" s="173">
        <v>2.1630833407835541</v>
      </c>
      <c r="G20" s="279">
        <f>[1]Datos!K$55*'[1]IEPS GyD'!F20%*22.5%</f>
        <v>166205.91619745633</v>
      </c>
      <c r="H20" s="279">
        <f t="shared" si="0"/>
        <v>1025304.7411974563</v>
      </c>
      <c r="I20" s="56"/>
      <c r="J20" s="37"/>
    </row>
    <row r="21" spans="2:10" x14ac:dyDescent="0.2">
      <c r="B21" s="160" t="s">
        <v>58</v>
      </c>
      <c r="C21" s="155">
        <v>3.95</v>
      </c>
      <c r="D21" s="161">
        <f>[1]Datos!K$54*'[1]IEPS GyD'!C21%*22.5%</f>
        <v>1535493.375</v>
      </c>
      <c r="E21" s="39">
        <v>43120</v>
      </c>
      <c r="F21" s="173">
        <v>3.9742704697510276</v>
      </c>
      <c r="G21" s="279">
        <f>[1]Datos!K$55*'[1]IEPS GyD'!F21%*22.5%</f>
        <v>305373.00721949461</v>
      </c>
      <c r="H21" s="279">
        <f t="shared" si="0"/>
        <v>1840866.3822194946</v>
      </c>
      <c r="I21" s="57"/>
      <c r="J21" s="37"/>
    </row>
    <row r="22" spans="2:10" x14ac:dyDescent="0.2">
      <c r="B22" s="160" t="s">
        <v>59</v>
      </c>
      <c r="C22" s="155">
        <v>0.75</v>
      </c>
      <c r="D22" s="161">
        <f>[1]Datos!K$54*'[1]IEPS GyD'!C22%*22.5%</f>
        <v>291549.375</v>
      </c>
      <c r="E22" s="39">
        <v>7510</v>
      </c>
      <c r="F22" s="173">
        <v>0.69217929563613667</v>
      </c>
      <c r="G22" s="279">
        <f>[1]Datos!K$55*'[1]IEPS GyD'!F22%*22.5%</f>
        <v>53185.326628441646</v>
      </c>
      <c r="H22" s="279">
        <f t="shared" si="0"/>
        <v>344734.70162844163</v>
      </c>
      <c r="I22" s="56"/>
      <c r="J22" s="37"/>
    </row>
    <row r="23" spans="2:10" x14ac:dyDescent="0.2">
      <c r="B23" s="160" t="s">
        <v>60</v>
      </c>
      <c r="C23" s="155">
        <v>2.2799999999999998</v>
      </c>
      <c r="D23" s="161">
        <f>[1]Datos!K$54*'[1]IEPS GyD'!C23%*22.5%</f>
        <v>886310.09999999986</v>
      </c>
      <c r="E23" s="39">
        <v>22412</v>
      </c>
      <c r="F23" s="173">
        <v>2.0656621003724496</v>
      </c>
      <c r="G23" s="279">
        <f>[1]Datos!K$55*'[1]IEPS GyD'!F23%*22.5%</f>
        <v>158720.31163736811</v>
      </c>
      <c r="H23" s="279">
        <f t="shared" si="0"/>
        <v>1045030.4116373679</v>
      </c>
      <c r="I23" s="56"/>
      <c r="J23" s="37"/>
    </row>
    <row r="24" spans="2:10" x14ac:dyDescent="0.2">
      <c r="B24" s="160" t="s">
        <v>61</v>
      </c>
      <c r="C24" s="155">
        <v>8.8800000000000008</v>
      </c>
      <c r="D24" s="161">
        <f>[1]Datos!K$54*'[1]IEPS GyD'!C24%*22.5%</f>
        <v>3451944.6</v>
      </c>
      <c r="E24" s="39">
        <v>93074</v>
      </c>
      <c r="F24" s="173">
        <v>8.5784148817626882</v>
      </c>
      <c r="G24" s="279">
        <f>[1]Datos!K$55*'[1]IEPS GyD'!F24%*22.5%</f>
        <v>659143.95347744063</v>
      </c>
      <c r="H24" s="279">
        <f t="shared" si="0"/>
        <v>4111088.553477441</v>
      </c>
      <c r="I24" s="56"/>
      <c r="J24" s="37"/>
    </row>
    <row r="25" spans="2:10" x14ac:dyDescent="0.2">
      <c r="B25" s="160" t="s">
        <v>62</v>
      </c>
      <c r="C25" s="155">
        <v>3.92</v>
      </c>
      <c r="D25" s="161">
        <f>[1]Datos!K$54*'[1]IEPS GyD'!C25%*22.5%</f>
        <v>1523831.4000000001</v>
      </c>
      <c r="E25" s="39">
        <v>39756</v>
      </c>
      <c r="F25" s="173">
        <v>3.6642183857936419</v>
      </c>
      <c r="G25" s="279">
        <f>[1]Datos!K$55*'[1]IEPS GyD'!F25%*22.5%</f>
        <v>281549.38021841896</v>
      </c>
      <c r="H25" s="279">
        <f t="shared" si="0"/>
        <v>1805380.7802184192</v>
      </c>
      <c r="I25" s="56"/>
      <c r="J25" s="37"/>
    </row>
    <row r="26" spans="2:10" x14ac:dyDescent="0.2">
      <c r="B26" s="160" t="s">
        <v>63</v>
      </c>
      <c r="C26" s="155">
        <v>35.42</v>
      </c>
      <c r="D26" s="161">
        <f>[1]Datos!K$54*'[1]IEPS GyD'!C26%*22.5%</f>
        <v>13768905.15</v>
      </c>
      <c r="E26" s="39">
        <v>380249</v>
      </c>
      <c r="F26" s="173">
        <v>35.046669106037996</v>
      </c>
      <c r="G26" s="279">
        <f>[1]Datos!K$55*'[1]IEPS GyD'!F26%*22.5%</f>
        <v>2692898.4374351944</v>
      </c>
      <c r="H26" s="279">
        <f t="shared" si="0"/>
        <v>16461803.587435195</v>
      </c>
      <c r="I26" s="56"/>
      <c r="J26" s="37"/>
    </row>
    <row r="27" spans="2:10" x14ac:dyDescent="0.2">
      <c r="B27" s="160" t="s">
        <v>64</v>
      </c>
      <c r="C27" s="155">
        <v>3</v>
      </c>
      <c r="D27" s="161">
        <f>[1]Datos!K$54*'[1]IEPS GyD'!C27%*22.5%</f>
        <v>1166197.5</v>
      </c>
      <c r="E27" s="39">
        <v>30030</v>
      </c>
      <c r="F27" s="173">
        <v>2.7677955057194654</v>
      </c>
      <c r="G27" s="279">
        <f>[1]Datos!K$55*'[1]IEPS GyD'!F27%*22.5%</f>
        <v>212670.48717071945</v>
      </c>
      <c r="H27" s="279">
        <f t="shared" si="0"/>
        <v>1378867.9871707195</v>
      </c>
      <c r="I27" s="56"/>
      <c r="J27" s="37"/>
    </row>
    <row r="28" spans="2:10" x14ac:dyDescent="0.2">
      <c r="B28" s="160" t="s">
        <v>65</v>
      </c>
      <c r="C28" s="155">
        <v>4.5199999999999996</v>
      </c>
      <c r="D28" s="161">
        <f>[1]Datos!K$54*'[1]IEPS GyD'!C28%*22.5%</f>
        <v>1757070.9</v>
      </c>
      <c r="E28" s="45">
        <v>49102</v>
      </c>
      <c r="F28" s="176">
        <v>4.5256175465147246</v>
      </c>
      <c r="G28" s="278">
        <f>[1]Datos!K$55*'[1]IEPS GyD'!F28%*22.5%</f>
        <v>347737.13823032513</v>
      </c>
      <c r="H28" s="278">
        <f t="shared" si="0"/>
        <v>2104808.0382303251</v>
      </c>
      <c r="I28" s="57"/>
      <c r="J28" s="37"/>
    </row>
    <row r="29" spans="2:10" ht="15" x14ac:dyDescent="0.25">
      <c r="B29" s="12" t="s">
        <v>66</v>
      </c>
      <c r="C29" s="13">
        <f t="shared" ref="C29" si="1">SUM(C9:C28)</f>
        <v>100.00000000000001</v>
      </c>
      <c r="D29" s="174">
        <f t="shared" ref="D29" si="2">SUM(D9:D28)</f>
        <v>38873250</v>
      </c>
      <c r="E29" s="167">
        <f>SUM(E9:E28)</f>
        <v>1084979</v>
      </c>
      <c r="F29" s="246">
        <f>SUM(F9:F28)</f>
        <v>99.999999999999986</v>
      </c>
      <c r="G29" s="175">
        <f>SUM(G9:G28)</f>
        <v>7683750</v>
      </c>
      <c r="H29" s="175">
        <f t="shared" si="0"/>
        <v>46557000</v>
      </c>
      <c r="I29" s="38"/>
      <c r="J29" s="58"/>
    </row>
    <row r="30" spans="2:10" x14ac:dyDescent="0.2">
      <c r="B30" s="1" t="s">
        <v>95</v>
      </c>
      <c r="G30" s="59"/>
    </row>
  </sheetData>
  <mergeCells count="4">
    <mergeCell ref="B4:H4"/>
    <mergeCell ref="B5:B8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8:H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3.5703125" customWidth="1"/>
    <col min="2" max="2" width="20.42578125" customWidth="1"/>
    <col min="3" max="3" width="13.28515625" bestFit="1" customWidth="1"/>
    <col min="4" max="4" width="12.140625" bestFit="1" customWidth="1"/>
    <col min="5" max="6" width="16.5703125" customWidth="1"/>
    <col min="7" max="7" width="11.140625" style="2" customWidth="1"/>
    <col min="8" max="8" width="14.140625" style="2" customWidth="1"/>
    <col min="9" max="9" width="15.85546875" customWidth="1"/>
    <col min="10" max="10" width="13.85546875" style="54" bestFit="1" customWidth="1"/>
    <col min="11" max="11" width="16.28515625" style="54" bestFit="1" customWidth="1"/>
  </cols>
  <sheetData>
    <row r="2" spans="2:11" x14ac:dyDescent="0.25">
      <c r="B2" s="25"/>
      <c r="C2" s="25"/>
      <c r="D2" s="25"/>
      <c r="E2" s="25"/>
      <c r="F2" s="25"/>
      <c r="G2" s="25"/>
      <c r="H2" s="25"/>
      <c r="I2" s="25"/>
      <c r="J2" s="25"/>
      <c r="K2" s="274" t="s">
        <v>151</v>
      </c>
    </row>
    <row r="3" spans="2:11" x14ac:dyDescent="0.25">
      <c r="B3" s="60"/>
      <c r="C3" s="60"/>
      <c r="D3" s="60"/>
      <c r="E3" s="60"/>
      <c r="F3" s="60"/>
      <c r="G3" s="61"/>
      <c r="H3" s="61"/>
      <c r="I3" s="62"/>
    </row>
    <row r="4" spans="2:11" x14ac:dyDescent="0.25">
      <c r="B4" s="355" t="s">
        <v>152</v>
      </c>
      <c r="C4" s="355"/>
      <c r="D4" s="355"/>
      <c r="E4" s="355"/>
      <c r="F4" s="355"/>
      <c r="G4" s="355"/>
      <c r="H4" s="355"/>
      <c r="I4" s="355"/>
      <c r="J4" s="355"/>
      <c r="K4" s="355"/>
    </row>
    <row r="5" spans="2:11" x14ac:dyDescent="0.25">
      <c r="B5" s="350" t="s">
        <v>72</v>
      </c>
      <c r="C5" s="266" t="s">
        <v>104</v>
      </c>
      <c r="D5" s="22" t="s">
        <v>19</v>
      </c>
      <c r="E5" s="350" t="s">
        <v>153</v>
      </c>
      <c r="F5" s="350" t="s">
        <v>154</v>
      </c>
      <c r="G5" s="22" t="s">
        <v>20</v>
      </c>
      <c r="H5" s="22" t="s">
        <v>155</v>
      </c>
      <c r="I5" s="22" t="s">
        <v>156</v>
      </c>
      <c r="J5" s="177" t="s">
        <v>157</v>
      </c>
      <c r="K5" s="159" t="s">
        <v>76</v>
      </c>
    </row>
    <row r="6" spans="2:11" x14ac:dyDescent="0.25">
      <c r="B6" s="351"/>
      <c r="C6" s="265" t="s">
        <v>76</v>
      </c>
      <c r="D6" s="5" t="s">
        <v>30</v>
      </c>
      <c r="E6" s="351"/>
      <c r="F6" s="351"/>
      <c r="G6" s="5">
        <v>2010</v>
      </c>
      <c r="H6" s="5" t="s">
        <v>158</v>
      </c>
      <c r="I6" s="5" t="s">
        <v>159</v>
      </c>
      <c r="J6" s="54" t="s">
        <v>160</v>
      </c>
      <c r="K6" s="27" t="s">
        <v>161</v>
      </c>
    </row>
    <row r="7" spans="2:11" x14ac:dyDescent="0.25">
      <c r="B7" s="351"/>
      <c r="C7" s="19">
        <v>2014</v>
      </c>
      <c r="D7" s="52" t="s">
        <v>162</v>
      </c>
      <c r="E7" s="5" t="s">
        <v>163</v>
      </c>
      <c r="F7" s="5" t="s">
        <v>163</v>
      </c>
      <c r="G7" s="5"/>
      <c r="H7" s="5" t="s">
        <v>164</v>
      </c>
      <c r="I7" s="5"/>
      <c r="J7" s="54">
        <v>2016</v>
      </c>
      <c r="K7" s="27" t="s">
        <v>165</v>
      </c>
    </row>
    <row r="8" spans="2:11" x14ac:dyDescent="0.25">
      <c r="B8" s="352"/>
      <c r="C8" s="19" t="s">
        <v>82</v>
      </c>
      <c r="D8" s="30" t="s">
        <v>83</v>
      </c>
      <c r="E8" s="30" t="s">
        <v>85</v>
      </c>
      <c r="F8" s="30" t="s">
        <v>86</v>
      </c>
      <c r="G8" s="30" t="s">
        <v>87</v>
      </c>
      <c r="H8" s="30" t="s">
        <v>166</v>
      </c>
      <c r="I8" s="7" t="s">
        <v>167</v>
      </c>
      <c r="J8" s="30" t="s">
        <v>168</v>
      </c>
      <c r="K8" s="30" t="s">
        <v>169</v>
      </c>
    </row>
    <row r="9" spans="2:11" x14ac:dyDescent="0.25">
      <c r="B9" s="53" t="s">
        <v>46</v>
      </c>
      <c r="C9" s="180">
        <v>3.65</v>
      </c>
      <c r="D9" s="63">
        <f>[1]Datos!K$34*[1]FOFIR!C9%*22.5%</f>
        <v>1608902.6625000001</v>
      </c>
      <c r="E9" s="153">
        <f>[1]Datos!Q74</f>
        <v>10595876</v>
      </c>
      <c r="F9" s="64">
        <f>E9/$E$29*100</f>
        <v>2.2818051286500491</v>
      </c>
      <c r="G9" s="183">
        <v>36572</v>
      </c>
      <c r="H9" s="39">
        <f>F9*G9</f>
        <v>83450.177164989596</v>
      </c>
      <c r="I9" s="156">
        <f>H9/H$29*100</f>
        <v>0.41515617189387743</v>
      </c>
      <c r="J9" s="184">
        <f>$J$29*I9/100</f>
        <v>33435.225037731259</v>
      </c>
      <c r="K9" s="184">
        <f t="shared" ref="K9:K28" si="0">D9+J9</f>
        <v>1642337.8875377313</v>
      </c>
    </row>
    <row r="10" spans="2:11" x14ac:dyDescent="0.25">
      <c r="B10" s="53" t="s">
        <v>47</v>
      </c>
      <c r="C10" s="181">
        <v>1.49</v>
      </c>
      <c r="D10" s="63">
        <f>[1]Datos!K$34*[1]FOFIR!C10%*22.5%</f>
        <v>656784.92249999999</v>
      </c>
      <c r="E10" s="39">
        <f>[1]Datos!Q75</f>
        <v>3514317</v>
      </c>
      <c r="F10" s="64">
        <f t="shared" ref="F10:F28" si="1">E10/$E$29*100</f>
        <v>0.75680260455124748</v>
      </c>
      <c r="G10" s="185">
        <v>15229</v>
      </c>
      <c r="H10" s="39">
        <f t="shared" ref="H10:H28" si="2">F10*G10</f>
        <v>11525.346864710948</v>
      </c>
      <c r="I10" s="156">
        <f t="shared" ref="I10:I29" si="3">H10/H$29*100</f>
        <v>5.733743230577474E-2</v>
      </c>
      <c r="J10" s="184">
        <f t="shared" ref="J10:J28" si="4">$J$29*I10/100</f>
        <v>4617.7561168940274</v>
      </c>
      <c r="K10" s="184">
        <f t="shared" si="0"/>
        <v>661402.67861689406</v>
      </c>
    </row>
    <row r="11" spans="2:11" x14ac:dyDescent="0.25">
      <c r="B11" s="53" t="s">
        <v>48</v>
      </c>
      <c r="C11" s="181">
        <v>1.0900000000000001</v>
      </c>
      <c r="D11" s="63">
        <f>[1]Datos!K$34*[1]FOFIR!C11%*22.5%</f>
        <v>480466.82250000001</v>
      </c>
      <c r="E11" s="39">
        <f>[1]Datos!Q76</f>
        <v>3191771</v>
      </c>
      <c r="F11" s="64">
        <f t="shared" si="1"/>
        <v>0.68734283387956752</v>
      </c>
      <c r="G11" s="183">
        <v>11188</v>
      </c>
      <c r="H11" s="39">
        <f t="shared" si="2"/>
        <v>7689.9916254446016</v>
      </c>
      <c r="I11" s="156">
        <f t="shared" si="3"/>
        <v>3.8256928787623323E-2</v>
      </c>
      <c r="J11" s="184">
        <f t="shared" si="4"/>
        <v>3081.0791453044258</v>
      </c>
      <c r="K11" s="184">
        <f t="shared" si="0"/>
        <v>483547.90164530446</v>
      </c>
    </row>
    <row r="12" spans="2:11" x14ac:dyDescent="0.25">
      <c r="B12" s="53" t="s">
        <v>49</v>
      </c>
      <c r="C12" s="181">
        <v>8.82</v>
      </c>
      <c r="D12" s="63">
        <f>[1]Datos!K$34*[1]FOFIR!C12%*22.5%</f>
        <v>3887814.1050000004</v>
      </c>
      <c r="E12" s="39">
        <f>[1]Datos!Q77</f>
        <v>160191302</v>
      </c>
      <c r="F12" s="64">
        <f t="shared" si="1"/>
        <v>34.496943383324691</v>
      </c>
      <c r="G12" s="183">
        <v>124205</v>
      </c>
      <c r="H12" s="39">
        <f t="shared" si="2"/>
        <v>4284692.8529258436</v>
      </c>
      <c r="I12" s="156">
        <f t="shared" si="3"/>
        <v>21.31591259590553</v>
      </c>
      <c r="J12" s="184">
        <f t="shared" si="4"/>
        <v>1716708.9947801458</v>
      </c>
      <c r="K12" s="184">
        <f t="shared" si="0"/>
        <v>5604523.099780146</v>
      </c>
    </row>
    <row r="13" spans="2:11" x14ac:dyDescent="0.25">
      <c r="B13" s="53" t="s">
        <v>50</v>
      </c>
      <c r="C13" s="181">
        <v>6.63</v>
      </c>
      <c r="D13" s="63">
        <f>[1]Datos!K$34*[1]FOFIR!C13%*22.5%</f>
        <v>2922472.5074999998</v>
      </c>
      <c r="E13" s="39">
        <f>[1]Datos!Q78</f>
        <v>35101187</v>
      </c>
      <c r="F13" s="64">
        <f t="shared" si="1"/>
        <v>7.5589850729004784</v>
      </c>
      <c r="G13" s="183">
        <v>70399</v>
      </c>
      <c r="H13" s="39">
        <f t="shared" si="2"/>
        <v>532144.99014712078</v>
      </c>
      <c r="I13" s="156">
        <f t="shared" si="3"/>
        <v>2.6473673814400143</v>
      </c>
      <c r="J13" s="184">
        <f t="shared" si="4"/>
        <v>213209.7031153437</v>
      </c>
      <c r="K13" s="184">
        <f t="shared" si="0"/>
        <v>3135682.2106153434</v>
      </c>
    </row>
    <row r="14" spans="2:11" x14ac:dyDescent="0.25">
      <c r="B14" s="53" t="s">
        <v>51</v>
      </c>
      <c r="C14" s="181">
        <v>3.22</v>
      </c>
      <c r="D14" s="63">
        <f>[1]Datos!K$34*[1]FOFIR!C14%*22.5%</f>
        <v>1419360.7050000001</v>
      </c>
      <c r="E14" s="39">
        <f>[1]Datos!Q79</f>
        <v>66546</v>
      </c>
      <c r="F14" s="64">
        <f t="shared" si="1"/>
        <v>1.4330575791104591E-2</v>
      </c>
      <c r="G14" s="183">
        <v>34300</v>
      </c>
      <c r="H14" s="39">
        <f t="shared" si="2"/>
        <v>491.53874963488749</v>
      </c>
      <c r="I14" s="156">
        <f t="shared" si="3"/>
        <v>2.4453554512228865E-3</v>
      </c>
      <c r="J14" s="184">
        <f t="shared" si="4"/>
        <v>196.94036929741199</v>
      </c>
      <c r="K14" s="184">
        <f t="shared" si="0"/>
        <v>1419557.6453692976</v>
      </c>
    </row>
    <row r="15" spans="2:11" x14ac:dyDescent="0.25">
      <c r="B15" s="53" t="s">
        <v>52</v>
      </c>
      <c r="C15" s="181">
        <v>1.1100000000000001</v>
      </c>
      <c r="D15" s="63">
        <f>[1]Datos!K$34*[1]FOFIR!C15%*22.5%</f>
        <v>489282.72749999998</v>
      </c>
      <c r="E15" s="39">
        <f>[1]Datos!Q80</f>
        <v>200502</v>
      </c>
      <c r="F15" s="64">
        <f t="shared" si="1"/>
        <v>4.3177788406035721E-2</v>
      </c>
      <c r="G15" s="183">
        <v>11400</v>
      </c>
      <c r="H15" s="39">
        <f t="shared" si="2"/>
        <v>492.22678782880723</v>
      </c>
      <c r="I15" s="156">
        <f t="shared" si="3"/>
        <v>2.448778371489907E-3</v>
      </c>
      <c r="J15" s="184">
        <f t="shared" si="4"/>
        <v>197.21603931549689</v>
      </c>
      <c r="K15" s="184">
        <f t="shared" si="0"/>
        <v>489479.94353931549</v>
      </c>
    </row>
    <row r="16" spans="2:11" x14ac:dyDescent="0.25">
      <c r="B16" s="53" t="s">
        <v>53</v>
      </c>
      <c r="C16" s="181">
        <v>2.71</v>
      </c>
      <c r="D16" s="63">
        <f>[1]Datos!K$34*[1]FOFIR!C16%*22.5%</f>
        <v>1194555.1274999999</v>
      </c>
      <c r="E16" s="39">
        <f>[1]Datos!Q81</f>
        <v>11189288</v>
      </c>
      <c r="F16" s="64">
        <f t="shared" si="1"/>
        <v>2.4095954637768933</v>
      </c>
      <c r="G16" s="183">
        <v>27273</v>
      </c>
      <c r="H16" s="39">
        <f t="shared" si="2"/>
        <v>65716.897083587217</v>
      </c>
      <c r="I16" s="156">
        <f t="shared" si="3"/>
        <v>0.32693490114496859</v>
      </c>
      <c r="J16" s="184">
        <f t="shared" si="4"/>
        <v>26330.192666061761</v>
      </c>
      <c r="K16" s="184">
        <f t="shared" si="0"/>
        <v>1220885.3201660616</v>
      </c>
    </row>
    <row r="17" spans="2:11" x14ac:dyDescent="0.25">
      <c r="B17" s="53" t="s">
        <v>54</v>
      </c>
      <c r="C17" s="181">
        <v>1.69</v>
      </c>
      <c r="D17" s="63">
        <f>[1]Datos!K$34*[1]FOFIR!C17%*22.5%</f>
        <v>744943.97249999992</v>
      </c>
      <c r="E17" s="39">
        <f>[1]Datos!Q82</f>
        <v>2644098</v>
      </c>
      <c r="F17" s="64">
        <f t="shared" si="1"/>
        <v>0.56940232002085878</v>
      </c>
      <c r="G17" s="183">
        <v>17698</v>
      </c>
      <c r="H17" s="39">
        <f t="shared" si="2"/>
        <v>10077.282259729158</v>
      </c>
      <c r="I17" s="156">
        <f t="shared" si="3"/>
        <v>5.0133457689032122E-2</v>
      </c>
      <c r="J17" s="184">
        <f t="shared" si="4"/>
        <v>4037.5732151727357</v>
      </c>
      <c r="K17" s="184">
        <f t="shared" si="0"/>
        <v>748981.54571517266</v>
      </c>
    </row>
    <row r="18" spans="2:11" x14ac:dyDescent="0.25">
      <c r="B18" s="53" t="s">
        <v>55</v>
      </c>
      <c r="C18" s="181">
        <v>1.27</v>
      </c>
      <c r="D18" s="63">
        <f>[1]Datos!K$34*[1]FOFIR!C18%*22.5%</f>
        <v>559809.96750000003</v>
      </c>
      <c r="E18" s="39">
        <f>[1]Datos!Q83</f>
        <v>536720</v>
      </c>
      <c r="F18" s="64">
        <f t="shared" si="1"/>
        <v>0.11558180264180654</v>
      </c>
      <c r="G18" s="183">
        <v>13600</v>
      </c>
      <c r="H18" s="39">
        <f t="shared" si="2"/>
        <v>1571.9125159285688</v>
      </c>
      <c r="I18" s="156">
        <f t="shared" si="3"/>
        <v>7.8201054190063894E-3</v>
      </c>
      <c r="J18" s="184">
        <f t="shared" si="4"/>
        <v>629.80392007780802</v>
      </c>
      <c r="K18" s="184">
        <f t="shared" si="0"/>
        <v>560439.77142007789</v>
      </c>
    </row>
    <row r="19" spans="2:11" x14ac:dyDescent="0.25">
      <c r="B19" s="53" t="s">
        <v>56</v>
      </c>
      <c r="C19" s="181">
        <v>3.39</v>
      </c>
      <c r="D19" s="63">
        <f>[1]Datos!K$34*[1]FOFIR!C19%*22.5%</f>
        <v>1494295.8975</v>
      </c>
      <c r="E19" s="39">
        <f>[1]Datos!Q84</f>
        <v>1677324</v>
      </c>
      <c r="F19" s="64">
        <f t="shared" si="1"/>
        <v>0.36120906903854055</v>
      </c>
      <c r="G19" s="183">
        <v>34393</v>
      </c>
      <c r="H19" s="39">
        <f t="shared" si="2"/>
        <v>12423.063511442526</v>
      </c>
      <c r="I19" s="156">
        <f t="shared" si="3"/>
        <v>6.1803481620033698E-2</v>
      </c>
      <c r="J19" s="184">
        <f t="shared" si="4"/>
        <v>4977.4360974918436</v>
      </c>
      <c r="K19" s="184">
        <f t="shared" si="0"/>
        <v>1499273.3335974917</v>
      </c>
    </row>
    <row r="20" spans="2:11" x14ac:dyDescent="0.25">
      <c r="B20" s="53" t="s">
        <v>57</v>
      </c>
      <c r="C20" s="181">
        <v>2.21</v>
      </c>
      <c r="D20" s="63">
        <f>[1]Datos!K$34*[1]FOFIR!C20%*22.5%</f>
        <v>974157.50249999994</v>
      </c>
      <c r="E20" s="39">
        <f>[1]Datos!Q85</f>
        <v>1510227</v>
      </c>
      <c r="F20" s="64">
        <f t="shared" si="1"/>
        <v>0.32522499451916742</v>
      </c>
      <c r="G20" s="183">
        <v>23469</v>
      </c>
      <c r="H20" s="39">
        <f t="shared" si="2"/>
        <v>7632.7053963703402</v>
      </c>
      <c r="I20" s="156">
        <f t="shared" si="3"/>
        <v>3.7971935605192027E-2</v>
      </c>
      <c r="J20" s="184">
        <f t="shared" si="4"/>
        <v>3058.1267918675476</v>
      </c>
      <c r="K20" s="184">
        <f t="shared" si="0"/>
        <v>977215.62929186749</v>
      </c>
    </row>
    <row r="21" spans="2:11" x14ac:dyDescent="0.25">
      <c r="B21" s="53" t="s">
        <v>58</v>
      </c>
      <c r="C21" s="181">
        <v>3.95</v>
      </c>
      <c r="D21" s="63">
        <f>[1]Datos!K$34*[1]FOFIR!C21%*22.5%</f>
        <v>1741141.2375</v>
      </c>
      <c r="E21" s="39">
        <f>[1]Datos!Q86</f>
        <v>3494573</v>
      </c>
      <c r="F21" s="64">
        <f t="shared" si="1"/>
        <v>0.75255076539608312</v>
      </c>
      <c r="G21" s="183">
        <v>43120</v>
      </c>
      <c r="H21" s="39">
        <f t="shared" si="2"/>
        <v>32449.989003879105</v>
      </c>
      <c r="I21" s="156">
        <f t="shared" si="3"/>
        <v>0.16143540577767385</v>
      </c>
      <c r="J21" s="184">
        <f t="shared" si="4"/>
        <v>13001.442557413629</v>
      </c>
      <c r="K21" s="184">
        <f t="shared" si="0"/>
        <v>1754142.6800574136</v>
      </c>
    </row>
    <row r="22" spans="2:11" x14ac:dyDescent="0.25">
      <c r="B22" s="53" t="s">
        <v>59</v>
      </c>
      <c r="C22" s="181">
        <v>0.75</v>
      </c>
      <c r="D22" s="63">
        <f>[1]Datos!K$34*[1]FOFIR!C22%*22.5%</f>
        <v>330596.4375</v>
      </c>
      <c r="E22" s="39">
        <f>[1]Datos!Q87</f>
        <v>1113213</v>
      </c>
      <c r="F22" s="64">
        <f t="shared" si="1"/>
        <v>0.23972865789292996</v>
      </c>
      <c r="G22" s="183">
        <v>7510</v>
      </c>
      <c r="H22" s="39">
        <f t="shared" si="2"/>
        <v>1800.362220775904</v>
      </c>
      <c r="I22" s="156">
        <f t="shared" si="3"/>
        <v>8.9566195422441722E-3</v>
      </c>
      <c r="J22" s="184">
        <f t="shared" si="4"/>
        <v>721.33478976394781</v>
      </c>
      <c r="K22" s="184">
        <f t="shared" si="0"/>
        <v>331317.77228976396</v>
      </c>
    </row>
    <row r="23" spans="2:11" x14ac:dyDescent="0.25">
      <c r="B23" s="53" t="s">
        <v>60</v>
      </c>
      <c r="C23" s="181">
        <v>2.2799999999999998</v>
      </c>
      <c r="D23" s="63">
        <f>[1]Datos!K$34*[1]FOFIR!C23%*22.5%</f>
        <v>1005013.1699999998</v>
      </c>
      <c r="E23" s="39">
        <f>[1]Datos!Q88</f>
        <v>2194344</v>
      </c>
      <c r="F23" s="64">
        <f t="shared" si="1"/>
        <v>0.4725485078555528</v>
      </c>
      <c r="G23" s="183">
        <v>22412</v>
      </c>
      <c r="H23" s="39">
        <f t="shared" si="2"/>
        <v>10590.75715805865</v>
      </c>
      <c r="I23" s="156">
        <f t="shared" si="3"/>
        <v>5.268794325630187E-2</v>
      </c>
      <c r="J23" s="184">
        <f t="shared" si="4"/>
        <v>4243.3025420611557</v>
      </c>
      <c r="K23" s="184">
        <f t="shared" si="0"/>
        <v>1009256.472542061</v>
      </c>
    </row>
    <row r="24" spans="2:11" x14ac:dyDescent="0.25">
      <c r="B24" s="53" t="s">
        <v>61</v>
      </c>
      <c r="C24" s="181">
        <v>8.8800000000000008</v>
      </c>
      <c r="D24" s="63">
        <f>[1]Datos!K$34*[1]FOFIR!C24%*22.5%</f>
        <v>3914261.82</v>
      </c>
      <c r="E24" s="39">
        <f>[1]Datos!Q89</f>
        <v>14203629</v>
      </c>
      <c r="F24" s="64">
        <f t="shared" si="1"/>
        <v>3.0587290279390369</v>
      </c>
      <c r="G24" s="183">
        <v>93074</v>
      </c>
      <c r="H24" s="39">
        <f t="shared" si="2"/>
        <v>284688.14554639789</v>
      </c>
      <c r="I24" s="156">
        <f t="shared" si="3"/>
        <v>1.416294664718754</v>
      </c>
      <c r="J24" s="184">
        <f t="shared" si="4"/>
        <v>114063.41526512192</v>
      </c>
      <c r="K24" s="184">
        <f t="shared" si="0"/>
        <v>4028325.2352651218</v>
      </c>
    </row>
    <row r="25" spans="2:11" x14ac:dyDescent="0.25">
      <c r="B25" s="53" t="s">
        <v>62</v>
      </c>
      <c r="C25" s="181">
        <v>3.92</v>
      </c>
      <c r="D25" s="63">
        <f>[1]Datos!K$34*[1]FOFIR!C25%*22.5%</f>
        <v>1727917.38</v>
      </c>
      <c r="E25" s="39">
        <f>[1]Datos!Q90</f>
        <v>9399739</v>
      </c>
      <c r="F25" s="64">
        <f t="shared" si="1"/>
        <v>2.0242189185841628</v>
      </c>
      <c r="G25" s="183">
        <v>39756</v>
      </c>
      <c r="H25" s="39">
        <f t="shared" si="2"/>
        <v>80474.847327231982</v>
      </c>
      <c r="I25" s="156">
        <f t="shared" si="3"/>
        <v>0.40035420756583406</v>
      </c>
      <c r="J25" s="184">
        <f t="shared" si="4"/>
        <v>32243.126637625795</v>
      </c>
      <c r="K25" s="184">
        <f t="shared" si="0"/>
        <v>1760160.5066376256</v>
      </c>
    </row>
    <row r="26" spans="2:11" x14ac:dyDescent="0.25">
      <c r="B26" s="53" t="s">
        <v>63</v>
      </c>
      <c r="C26" s="181">
        <v>35.42</v>
      </c>
      <c r="D26" s="63">
        <f>[1]Datos!K$34*[1]FOFIR!C26%*22.5%</f>
        <v>15612967.754999999</v>
      </c>
      <c r="E26" s="39">
        <f>[1]Datos!Q91</f>
        <v>175762046</v>
      </c>
      <c r="F26" s="64">
        <f t="shared" si="1"/>
        <v>37.850078463057315</v>
      </c>
      <c r="G26" s="183">
        <v>380249</v>
      </c>
      <c r="H26" s="39">
        <f t="shared" si="2"/>
        <v>14392454.48549908</v>
      </c>
      <c r="I26" s="156">
        <f t="shared" si="3"/>
        <v>71.60100207508539</v>
      </c>
      <c r="J26" s="184">
        <f t="shared" si="4"/>
        <v>5766494.1036201147</v>
      </c>
      <c r="K26" s="184">
        <f t="shared" si="0"/>
        <v>21379461.858620115</v>
      </c>
    </row>
    <row r="27" spans="2:11" x14ac:dyDescent="0.25">
      <c r="B27" s="53" t="s">
        <v>64</v>
      </c>
      <c r="C27" s="181">
        <v>3</v>
      </c>
      <c r="D27" s="63">
        <f>[1]Datos!K$34*[1]FOFIR!C27%*22.5%</f>
        <v>1322385.75</v>
      </c>
      <c r="E27" s="39">
        <f>[1]Datos!Q92</f>
        <v>3206891</v>
      </c>
      <c r="F27" s="64">
        <f t="shared" si="1"/>
        <v>0.69059890195220142</v>
      </c>
      <c r="G27" s="183">
        <v>30030</v>
      </c>
      <c r="H27" s="39">
        <f t="shared" si="2"/>
        <v>20738.685025624607</v>
      </c>
      <c r="I27" s="156">
        <f t="shared" si="3"/>
        <v>0.10317285568284347</v>
      </c>
      <c r="J27" s="184">
        <f t="shared" si="4"/>
        <v>8309.1806917013237</v>
      </c>
      <c r="K27" s="184">
        <f t="shared" si="0"/>
        <v>1330694.9306917014</v>
      </c>
    </row>
    <row r="28" spans="2:11" x14ac:dyDescent="0.25">
      <c r="B28" s="53" t="s">
        <v>65</v>
      </c>
      <c r="C28" s="182">
        <v>4.5199999999999996</v>
      </c>
      <c r="D28" s="63">
        <f>[1]Datos!K$34*[1]FOFIR!C28%*22.5%</f>
        <v>1992394.5299999998</v>
      </c>
      <c r="E28" s="39">
        <f>[1]Datos!Q93</f>
        <v>24570163</v>
      </c>
      <c r="F28" s="64">
        <f t="shared" si="1"/>
        <v>5.2911457198222847</v>
      </c>
      <c r="G28" s="183">
        <v>49102</v>
      </c>
      <c r="H28" s="39">
        <f t="shared" si="2"/>
        <v>259805.83713471383</v>
      </c>
      <c r="I28" s="156">
        <f t="shared" si="3"/>
        <v>1.2925077027371872</v>
      </c>
      <c r="J28" s="184">
        <f t="shared" si="4"/>
        <v>104094.04660149346</v>
      </c>
      <c r="K28" s="184">
        <f t="shared" si="0"/>
        <v>2096488.5766014932</v>
      </c>
    </row>
    <row r="29" spans="2:11" x14ac:dyDescent="0.25">
      <c r="B29" s="8" t="s">
        <v>66</v>
      </c>
      <c r="C29" s="182">
        <f>SUM(C9:C28)</f>
        <v>100.00000000000001</v>
      </c>
      <c r="D29" s="178">
        <f>SUM(D9:D28)</f>
        <v>44079524.999999993</v>
      </c>
      <c r="E29" s="9">
        <f>'[1]FGP 30%'!K56</f>
        <v>464363756</v>
      </c>
      <c r="F29" s="179">
        <f>SUM(F9:F28)</f>
        <v>100</v>
      </c>
      <c r="G29" s="186">
        <f t="shared" ref="G29:K29" si="5">SUM(G9:G28)</f>
        <v>1084979</v>
      </c>
      <c r="H29" s="9">
        <f t="shared" si="5"/>
        <v>20100912.093948394</v>
      </c>
      <c r="I29" s="247">
        <f t="shared" si="3"/>
        <v>100</v>
      </c>
      <c r="J29" s="187">
        <f>[1]Datos!L35</f>
        <v>8053650</v>
      </c>
      <c r="K29" s="187">
        <f t="shared" si="5"/>
        <v>52133175</v>
      </c>
    </row>
    <row r="30" spans="2:11" x14ac:dyDescent="0.25">
      <c r="B30" s="1"/>
      <c r="C30" s="15"/>
      <c r="D30" s="1"/>
      <c r="E30" s="1"/>
      <c r="F30" s="1"/>
      <c r="G30" s="16"/>
      <c r="H30" s="16"/>
    </row>
    <row r="31" spans="2:11" x14ac:dyDescent="0.25">
      <c r="B31" s="1" t="s">
        <v>95</v>
      </c>
      <c r="C31" s="1"/>
      <c r="D31" s="1"/>
      <c r="E31" s="1"/>
      <c r="F31" s="1"/>
      <c r="G31" s="16"/>
      <c r="H31" s="16"/>
    </row>
  </sheetData>
  <mergeCells count="4">
    <mergeCell ref="B4:K4"/>
    <mergeCell ref="B5:B8"/>
    <mergeCell ref="E5:E6"/>
    <mergeCell ref="F5:F6"/>
  </mergeCells>
  <printOptions horizontalCentered="1"/>
  <pageMargins left="0.35433070866141736" right="0.70866141732283472" top="0.74803149606299213" bottom="0.74803149606299213" header="0.31496062992125984" footer="0.31496062992125984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8.42578125" style="82" customWidth="1"/>
    <col min="2" max="2" width="12.140625" style="82" customWidth="1"/>
    <col min="3" max="3" width="12.28515625" style="82" customWidth="1"/>
    <col min="4" max="4" width="14.28515625" style="83" customWidth="1"/>
    <col min="5" max="5" width="20.5703125" style="82" customWidth="1"/>
    <col min="6" max="6" width="14.140625" style="82" customWidth="1"/>
    <col min="7" max="7" width="11.7109375" style="82" customWidth="1"/>
    <col min="8" max="8" width="16.85546875" style="82" customWidth="1"/>
    <col min="9" max="9" width="15.28515625" style="82" hidden="1" customWidth="1"/>
    <col min="10" max="11" width="10" style="82" bestFit="1" customWidth="1"/>
    <col min="12" max="12" width="14.85546875" style="82" bestFit="1" customWidth="1"/>
    <col min="13" max="13" width="11.42578125" style="82" bestFit="1" customWidth="1"/>
    <col min="14" max="14" width="15.28515625" style="82" customWidth="1"/>
    <col min="15" max="16" width="0" style="82" hidden="1" customWidth="1"/>
    <col min="17" max="17" width="11.42578125" style="82"/>
    <col min="18" max="18" width="15.7109375" style="82" customWidth="1"/>
    <col min="19" max="16384" width="11.42578125" style="82"/>
  </cols>
  <sheetData>
    <row r="3" spans="1:18" s="188" customFormat="1" ht="15" customHeight="1" x14ac:dyDescent="0.2">
      <c r="A3" s="125"/>
      <c r="B3" s="125"/>
      <c r="C3" s="125"/>
      <c r="I3" s="189"/>
      <c r="J3" s="189"/>
      <c r="K3" s="189"/>
      <c r="L3" s="361" t="s">
        <v>170</v>
      </c>
      <c r="M3" s="361"/>
      <c r="N3" s="189"/>
    </row>
    <row r="4" spans="1:18" x14ac:dyDescent="0.2">
      <c r="A4" s="356" t="s">
        <v>171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270"/>
    </row>
    <row r="5" spans="1:18" ht="15" customHeight="1" x14ac:dyDescent="0.2">
      <c r="A5" s="357" t="s">
        <v>72</v>
      </c>
      <c r="B5" s="271"/>
      <c r="C5" s="271"/>
      <c r="D5" s="360" t="s">
        <v>172</v>
      </c>
      <c r="E5" s="360"/>
      <c r="F5" s="360" t="s">
        <v>173</v>
      </c>
      <c r="G5" s="360"/>
      <c r="H5" s="360"/>
      <c r="I5" s="190" t="s">
        <v>21</v>
      </c>
      <c r="J5" s="190"/>
      <c r="K5" s="190"/>
      <c r="L5" s="190" t="s">
        <v>174</v>
      </c>
      <c r="M5" s="190" t="s">
        <v>99</v>
      </c>
      <c r="N5" s="189"/>
    </row>
    <row r="6" spans="1:18" x14ac:dyDescent="0.2">
      <c r="A6" s="358"/>
      <c r="B6" s="138" t="s">
        <v>104</v>
      </c>
      <c r="C6" s="138" t="s">
        <v>19</v>
      </c>
      <c r="D6" s="138" t="s">
        <v>175</v>
      </c>
      <c r="E6" s="138" t="s">
        <v>21</v>
      </c>
      <c r="F6" s="138" t="s">
        <v>176</v>
      </c>
      <c r="G6" s="138" t="s">
        <v>177</v>
      </c>
      <c r="H6" s="138" t="s">
        <v>178</v>
      </c>
      <c r="I6" s="138" t="s">
        <v>179</v>
      </c>
      <c r="J6" s="138" t="s">
        <v>180</v>
      </c>
      <c r="K6" s="138" t="s">
        <v>181</v>
      </c>
      <c r="L6" s="138" t="s">
        <v>182</v>
      </c>
      <c r="M6" s="138" t="s">
        <v>31</v>
      </c>
      <c r="N6" s="189"/>
    </row>
    <row r="7" spans="1:18" x14ac:dyDescent="0.2">
      <c r="A7" s="358"/>
      <c r="B7" s="138" t="s">
        <v>76</v>
      </c>
      <c r="C7" s="138" t="s">
        <v>30</v>
      </c>
      <c r="D7" s="138" t="s">
        <v>164</v>
      </c>
      <c r="E7" s="138" t="s">
        <v>183</v>
      </c>
      <c r="F7" s="138" t="s">
        <v>184</v>
      </c>
      <c r="G7" s="138" t="s">
        <v>181</v>
      </c>
      <c r="H7" s="138" t="s">
        <v>185</v>
      </c>
      <c r="I7" s="138" t="s">
        <v>40</v>
      </c>
      <c r="J7" s="191" t="s">
        <v>186</v>
      </c>
      <c r="K7" s="191" t="s">
        <v>186</v>
      </c>
      <c r="L7" s="191" t="s">
        <v>187</v>
      </c>
      <c r="M7" s="191" t="s">
        <v>188</v>
      </c>
      <c r="N7" s="189"/>
    </row>
    <row r="8" spans="1:18" x14ac:dyDescent="0.2">
      <c r="A8" s="358"/>
      <c r="B8" s="191">
        <v>2014</v>
      </c>
      <c r="C8" s="191" t="s">
        <v>162</v>
      </c>
      <c r="D8" s="138" t="s">
        <v>189</v>
      </c>
      <c r="E8" s="138" t="s">
        <v>190</v>
      </c>
      <c r="F8" s="192"/>
      <c r="G8" s="192"/>
      <c r="H8" s="138" t="s">
        <v>191</v>
      </c>
      <c r="I8" s="139"/>
      <c r="J8" s="191" t="s">
        <v>192</v>
      </c>
      <c r="K8" s="191" t="s">
        <v>123</v>
      </c>
      <c r="L8" s="191" t="s">
        <v>193</v>
      </c>
      <c r="M8" s="191" t="s">
        <v>194</v>
      </c>
      <c r="N8" s="193"/>
      <c r="O8" s="194"/>
    </row>
    <row r="9" spans="1:18" x14ac:dyDescent="0.2">
      <c r="A9" s="359"/>
      <c r="B9" s="141" t="s">
        <v>82</v>
      </c>
      <c r="C9" s="141" t="s">
        <v>83</v>
      </c>
      <c r="D9" s="141" t="s">
        <v>85</v>
      </c>
      <c r="E9" s="141" t="s">
        <v>195</v>
      </c>
      <c r="F9" s="141" t="s">
        <v>196</v>
      </c>
      <c r="G9" s="141" t="s">
        <v>197</v>
      </c>
      <c r="H9" s="141" t="s">
        <v>198</v>
      </c>
      <c r="I9" s="141" t="s">
        <v>199</v>
      </c>
      <c r="J9" s="141" t="s">
        <v>45</v>
      </c>
      <c r="K9" s="141" t="s">
        <v>45</v>
      </c>
      <c r="L9" s="141"/>
      <c r="M9" s="141" t="s">
        <v>143</v>
      </c>
      <c r="N9" s="195"/>
    </row>
    <row r="10" spans="1:18" x14ac:dyDescent="0.2">
      <c r="A10" s="192" t="s">
        <v>46</v>
      </c>
      <c r="B10" s="196">
        <v>3.81</v>
      </c>
      <c r="C10" s="197">
        <f>[1]FOCO!D9</f>
        <v>2891598.5475000003</v>
      </c>
      <c r="D10" s="198">
        <v>3.3707564846877225</v>
      </c>
      <c r="E10" s="198">
        <f>D10*0.7</f>
        <v>2.3595295392814055</v>
      </c>
      <c r="F10" s="199">
        <f>MINVERSE(D10)</f>
        <v>0.29666930985453349</v>
      </c>
      <c r="G10" s="199">
        <f>F10/F$30%</f>
        <v>3.205314090512692</v>
      </c>
      <c r="H10" s="200">
        <f>G10*0.3</f>
        <v>0.9615942271538076</v>
      </c>
      <c r="I10" s="200">
        <f>E10+H10</f>
        <v>3.3211237664352131</v>
      </c>
      <c r="J10" s="201">
        <f>[1]Datos!$L$40*'[1]FOCO70 y 30'!F10/100</f>
        <v>219100.01419382312</v>
      </c>
      <c r="K10" s="201">
        <f>[1]Datos!$K$40*22.5%*'[1]FOCO70 y 30'!I10/100</f>
        <v>89291.235947934692</v>
      </c>
      <c r="L10" s="201">
        <f>J10+K10</f>
        <v>308391.25014175783</v>
      </c>
      <c r="M10" s="201">
        <f>L10+C10</f>
        <v>3199989.7976417583</v>
      </c>
      <c r="N10" s="202"/>
      <c r="Q10" s="203"/>
      <c r="R10" s="127"/>
    </row>
    <row r="11" spans="1:18" x14ac:dyDescent="0.2">
      <c r="A11" s="192" t="s">
        <v>47</v>
      </c>
      <c r="B11" s="196">
        <v>1.63</v>
      </c>
      <c r="C11" s="197">
        <f>[1]FOCO!D10</f>
        <v>1237088.0925</v>
      </c>
      <c r="D11" s="198">
        <v>1.4036216369164749</v>
      </c>
      <c r="E11" s="198">
        <f t="shared" ref="E11:E29" si="0">D11*0.7</f>
        <v>0.98253514584153234</v>
      </c>
      <c r="F11" s="199">
        <f t="shared" ref="F11:F29" si="1">MINVERSE(D11)</f>
        <v>0.71244270799133236</v>
      </c>
      <c r="G11" s="199">
        <f t="shared" ref="G11:G30" si="2">F11/F$30%</f>
        <v>7.6974684429857634</v>
      </c>
      <c r="H11" s="200">
        <f t="shared" ref="H11:H29" si="3">G11*0.3</f>
        <v>2.3092405328957288</v>
      </c>
      <c r="I11" s="200">
        <f t="shared" ref="I11:I30" si="4">E11+H11</f>
        <v>3.2917756787372614</v>
      </c>
      <c r="J11" s="201">
        <f>[1]Datos!$L$40*'[1]FOCO70 y 30'!F11/100</f>
        <v>91235.757304980085</v>
      </c>
      <c r="K11" s="201">
        <f>[1]Datos!$K$40*22.5%*'[1]FOCO70 y 30'!I11/100</f>
        <v>214430.30278336513</v>
      </c>
      <c r="L11" s="201">
        <f t="shared" ref="L11:L30" si="5">J11+K11</f>
        <v>305666.0600883452</v>
      </c>
      <c r="M11" s="201">
        <f t="shared" ref="M11:M30" si="6">L11+C11</f>
        <v>1542754.1525883451</v>
      </c>
      <c r="N11" s="202"/>
      <c r="Q11" s="203"/>
      <c r="R11" s="127"/>
    </row>
    <row r="12" spans="1:18" x14ac:dyDescent="0.2">
      <c r="A12" s="192" t="s">
        <v>48</v>
      </c>
      <c r="B12" s="196">
        <v>1.32</v>
      </c>
      <c r="C12" s="197">
        <f>[1]FOCO!D11</f>
        <v>1001813.67</v>
      </c>
      <c r="D12" s="198">
        <v>1.0311720319010782</v>
      </c>
      <c r="E12" s="198">
        <f t="shared" si="0"/>
        <v>0.72182042233075472</v>
      </c>
      <c r="F12" s="199">
        <f t="shared" si="1"/>
        <v>0.96977028959599576</v>
      </c>
      <c r="G12" s="199">
        <f t="shared" si="2"/>
        <v>10.477721390617644</v>
      </c>
      <c r="H12" s="200">
        <f t="shared" si="3"/>
        <v>3.143316417185293</v>
      </c>
      <c r="I12" s="200">
        <f t="shared" si="4"/>
        <v>3.8651368395160475</v>
      </c>
      <c r="J12" s="201">
        <f>[1]Datos!$L$40*'[1]FOCO70 y 30'!F12/100</f>
        <v>67026.439866578061</v>
      </c>
      <c r="K12" s="201">
        <f>[1]Datos!$K$40*22.5%*'[1]FOCO70 y 30'!I12/100</f>
        <v>291880.50420878339</v>
      </c>
      <c r="L12" s="201">
        <f t="shared" si="5"/>
        <v>358906.94407536148</v>
      </c>
      <c r="M12" s="201">
        <f t="shared" si="6"/>
        <v>1360720.6140753615</v>
      </c>
      <c r="N12" s="202"/>
      <c r="Q12" s="203"/>
      <c r="R12" s="127"/>
    </row>
    <row r="13" spans="1:18" x14ac:dyDescent="0.2">
      <c r="A13" s="192" t="s">
        <v>49</v>
      </c>
      <c r="B13" s="196">
        <v>7.64</v>
      </c>
      <c r="C13" s="197">
        <f>[1]FOCO!D12</f>
        <v>5798376.0899999999</v>
      </c>
      <c r="D13" s="198">
        <v>11.447687005923617</v>
      </c>
      <c r="E13" s="198">
        <f t="shared" si="0"/>
        <v>8.0133809041465316</v>
      </c>
      <c r="F13" s="199">
        <f t="shared" si="1"/>
        <v>8.7353890745139079E-2</v>
      </c>
      <c r="G13" s="199">
        <f t="shared" si="2"/>
        <v>0.94380054682363979</v>
      </c>
      <c r="H13" s="200">
        <f t="shared" si="3"/>
        <v>0.28314016404709191</v>
      </c>
      <c r="I13" s="200">
        <f t="shared" si="4"/>
        <v>8.2965210681936234</v>
      </c>
      <c r="J13" s="201">
        <f>[1]Datos!$L$40*'[1]FOCO70 y 30'!F13/100</f>
        <v>744102.51730678661</v>
      </c>
      <c r="K13" s="201">
        <f>[1]Datos!$K$40*22.5%*'[1]FOCO70 y 30'!I13/100</f>
        <v>26291.687783002839</v>
      </c>
      <c r="L13" s="201">
        <f t="shared" si="5"/>
        <v>770394.20508978947</v>
      </c>
      <c r="M13" s="201">
        <f t="shared" si="6"/>
        <v>6568770.2950897897</v>
      </c>
      <c r="N13" s="202"/>
      <c r="Q13" s="203"/>
      <c r="R13" s="127"/>
    </row>
    <row r="14" spans="1:18" x14ac:dyDescent="0.2">
      <c r="A14" s="192" t="s">
        <v>50</v>
      </c>
      <c r="B14" s="196">
        <v>6.2</v>
      </c>
      <c r="C14" s="197">
        <f>[1]FOCO!D13</f>
        <v>4705488.45</v>
      </c>
      <c r="D14" s="198">
        <v>6.4885126808905982</v>
      </c>
      <c r="E14" s="198">
        <f t="shared" si="0"/>
        <v>4.5419588766234185</v>
      </c>
      <c r="F14" s="199">
        <f t="shared" si="1"/>
        <v>0.1541185244108581</v>
      </c>
      <c r="G14" s="199">
        <f t="shared" si="2"/>
        <v>1.6651478986666031</v>
      </c>
      <c r="H14" s="200">
        <f t="shared" si="3"/>
        <v>0.49954436959998089</v>
      </c>
      <c r="I14" s="200">
        <f t="shared" si="4"/>
        <v>5.0415032462233995</v>
      </c>
      <c r="J14" s="201">
        <f>[1]Datos!$L$40*'[1]FOCO70 y 30'!F14/100</f>
        <v>421754.94638605905</v>
      </c>
      <c r="K14" s="201">
        <f>[1]Datos!$K$40*22.5%*'[1]FOCO70 y 30'!I14/100</f>
        <v>46386.441300130224</v>
      </c>
      <c r="L14" s="201">
        <f t="shared" si="5"/>
        <v>468141.38768618926</v>
      </c>
      <c r="M14" s="201">
        <f t="shared" si="6"/>
        <v>5173629.8376861895</v>
      </c>
      <c r="N14" s="202"/>
      <c r="Q14" s="203"/>
      <c r="R14" s="127"/>
    </row>
    <row r="15" spans="1:18" x14ac:dyDescent="0.2">
      <c r="A15" s="192" t="s">
        <v>51</v>
      </c>
      <c r="B15" s="196">
        <v>7.23</v>
      </c>
      <c r="C15" s="197">
        <f>[1]FOCO!D14</f>
        <v>5487206.6924999999</v>
      </c>
      <c r="D15" s="198">
        <v>3.1613515100292262</v>
      </c>
      <c r="E15" s="198">
        <f t="shared" si="0"/>
        <v>2.2129460570204582</v>
      </c>
      <c r="F15" s="199">
        <f t="shared" si="1"/>
        <v>0.31632040816326534</v>
      </c>
      <c r="G15" s="199">
        <f t="shared" si="2"/>
        <v>3.4176311054877608</v>
      </c>
      <c r="H15" s="200">
        <f t="shared" si="3"/>
        <v>1.0252893316463283</v>
      </c>
      <c r="I15" s="200">
        <f t="shared" si="4"/>
        <v>3.2382353886667863</v>
      </c>
      <c r="J15" s="201">
        <f>[1]Datos!$L$40*'[1]FOCO70 y 30'!F15/100</f>
        <v>205488.63848977719</v>
      </c>
      <c r="K15" s="201">
        <f>[1]Datos!$K$40*22.5%*'[1]FOCO70 y 30'!I15/100</f>
        <v>95205.804113348931</v>
      </c>
      <c r="L15" s="201">
        <f t="shared" si="5"/>
        <v>300694.44260312611</v>
      </c>
      <c r="M15" s="201">
        <f t="shared" si="6"/>
        <v>5787901.1351031261</v>
      </c>
      <c r="N15" s="202"/>
      <c r="Q15" s="203"/>
      <c r="R15" s="127"/>
    </row>
    <row r="16" spans="1:18" x14ac:dyDescent="0.2">
      <c r="A16" s="192" t="s">
        <v>52</v>
      </c>
      <c r="B16" s="196">
        <v>2</v>
      </c>
      <c r="C16" s="197">
        <f>[1]FOCO!D15</f>
        <v>1517899.5</v>
      </c>
      <c r="D16" s="198">
        <v>1.050711580592804</v>
      </c>
      <c r="E16" s="198">
        <f t="shared" si="0"/>
        <v>0.73549810641496272</v>
      </c>
      <c r="F16" s="199">
        <f t="shared" si="1"/>
        <v>0.95173596491228074</v>
      </c>
      <c r="G16" s="199">
        <f t="shared" si="2"/>
        <v>10.28287253668686</v>
      </c>
      <c r="H16" s="200">
        <f t="shared" si="3"/>
        <v>3.0848617610060578</v>
      </c>
      <c r="I16" s="200">
        <f t="shared" si="4"/>
        <v>3.8203598674210206</v>
      </c>
      <c r="J16" s="201">
        <f>[1]Datos!$L$40*'[1]FOCO70 y 30'!F16/100</f>
        <v>68296.515416427399</v>
      </c>
      <c r="K16" s="201">
        <f>[1]Datos!$K$40*22.5%*'[1]FOCO70 y 30'!I16/100</f>
        <v>286452.55097262003</v>
      </c>
      <c r="L16" s="201">
        <f t="shared" si="5"/>
        <v>354749.06638904742</v>
      </c>
      <c r="M16" s="201">
        <f t="shared" si="6"/>
        <v>1872648.5663890475</v>
      </c>
      <c r="N16" s="202"/>
      <c r="Q16" s="203"/>
      <c r="R16" s="127"/>
    </row>
    <row r="17" spans="1:18" x14ac:dyDescent="0.2">
      <c r="A17" s="192" t="s">
        <v>53</v>
      </c>
      <c r="B17" s="196">
        <v>2.67</v>
      </c>
      <c r="C17" s="197">
        <f>[1]FOCO!D16</f>
        <v>2026395.8324999998</v>
      </c>
      <c r="D17" s="198">
        <v>2.5136892050445216</v>
      </c>
      <c r="E17" s="198">
        <f t="shared" si="0"/>
        <v>1.7595824435311651</v>
      </c>
      <c r="F17" s="199">
        <f t="shared" si="1"/>
        <v>0.39782165511678214</v>
      </c>
      <c r="G17" s="199">
        <f t="shared" si="2"/>
        <v>4.2981977383577226</v>
      </c>
      <c r="H17" s="200">
        <f t="shared" si="3"/>
        <v>1.2894593215073167</v>
      </c>
      <c r="I17" s="200">
        <f t="shared" si="4"/>
        <v>3.0490417650384818</v>
      </c>
      <c r="J17" s="201">
        <f>[1]Datos!$L$40*'[1]FOCO70 y 30'!F17/100</f>
        <v>163390.42675019515</v>
      </c>
      <c r="K17" s="201">
        <f>[1]Datos!$K$40*22.5%*'[1]FOCO70 y 30'!I17/100</f>
        <v>119735.96894686567</v>
      </c>
      <c r="L17" s="201">
        <f t="shared" si="5"/>
        <v>283126.39569706086</v>
      </c>
      <c r="M17" s="201">
        <f t="shared" si="6"/>
        <v>2309522.2281970605</v>
      </c>
      <c r="N17" s="202"/>
      <c r="Q17" s="203"/>
      <c r="R17" s="127"/>
    </row>
    <row r="18" spans="1:18" x14ac:dyDescent="0.2">
      <c r="A18" s="192" t="s">
        <v>54</v>
      </c>
      <c r="B18" s="196">
        <v>2.2999999999999998</v>
      </c>
      <c r="C18" s="197">
        <f>[1]FOCO!D17</f>
        <v>1745584.425</v>
      </c>
      <c r="D18" s="198">
        <v>1.6311836450290742</v>
      </c>
      <c r="E18" s="198">
        <f t="shared" si="0"/>
        <v>1.1418285515203519</v>
      </c>
      <c r="F18" s="199">
        <f t="shared" si="1"/>
        <v>0.61305175726070749</v>
      </c>
      <c r="G18" s="199">
        <f t="shared" si="2"/>
        <v>6.6236154886557914</v>
      </c>
      <c r="H18" s="200">
        <f t="shared" si="3"/>
        <v>1.9870846465967373</v>
      </c>
      <c r="I18" s="200">
        <f t="shared" si="4"/>
        <v>3.1289131981170892</v>
      </c>
      <c r="J18" s="201">
        <f>[1]Datos!$L$40*'[1]FOCO70 y 30'!F18/100</f>
        <v>106027.34472280108</v>
      </c>
      <c r="K18" s="201">
        <f>[1]Datos!$K$40*22.5%*'[1]FOCO70 y 30'!I18/100</f>
        <v>184515.71257135653</v>
      </c>
      <c r="L18" s="201">
        <f t="shared" si="5"/>
        <v>290543.05729415762</v>
      </c>
      <c r="M18" s="201">
        <f t="shared" si="6"/>
        <v>2036127.4822941576</v>
      </c>
      <c r="N18" s="202"/>
      <c r="Q18" s="203"/>
      <c r="R18" s="127"/>
    </row>
    <row r="19" spans="1:18" x14ac:dyDescent="0.2">
      <c r="A19" s="192" t="s">
        <v>55</v>
      </c>
      <c r="B19" s="196">
        <v>2.31</v>
      </c>
      <c r="C19" s="197">
        <f>[1]FOCO!D18</f>
        <v>1753173.9224999999</v>
      </c>
      <c r="D19" s="198">
        <v>1.2534804821107137</v>
      </c>
      <c r="E19" s="198">
        <f t="shared" si="0"/>
        <v>0.8774363374774995</v>
      </c>
      <c r="F19" s="199">
        <f t="shared" si="1"/>
        <v>0.7977786764705882</v>
      </c>
      <c r="G19" s="199">
        <f t="shared" si="2"/>
        <v>8.6194666851639834</v>
      </c>
      <c r="H19" s="200">
        <f t="shared" si="3"/>
        <v>2.585840005549195</v>
      </c>
      <c r="I19" s="200">
        <f t="shared" si="4"/>
        <v>3.4632763430266946</v>
      </c>
      <c r="J19" s="201">
        <f>[1]Datos!$L$40*'[1]FOCO70 y 30'!F19/100</f>
        <v>81476.544707316905</v>
      </c>
      <c r="K19" s="201">
        <f>[1]Datos!$K$40*22.5%*'[1]FOCO70 y 30'!I19/100</f>
        <v>240114.63831528436</v>
      </c>
      <c r="L19" s="201">
        <f t="shared" si="5"/>
        <v>321591.1830226013</v>
      </c>
      <c r="M19" s="201">
        <f t="shared" si="6"/>
        <v>2074765.1055226012</v>
      </c>
      <c r="N19" s="202"/>
      <c r="Q19" s="203"/>
      <c r="R19" s="127"/>
    </row>
    <row r="20" spans="1:18" x14ac:dyDescent="0.2">
      <c r="A20" s="192" t="s">
        <v>56</v>
      </c>
      <c r="B20" s="196">
        <v>5.05</v>
      </c>
      <c r="C20" s="197">
        <f>[1]FOCO!D19</f>
        <v>3832696.2375000003</v>
      </c>
      <c r="D20" s="198">
        <v>3.1699231045024834</v>
      </c>
      <c r="E20" s="198">
        <f t="shared" si="0"/>
        <v>2.2189461731517381</v>
      </c>
      <c r="F20" s="199">
        <f t="shared" si="1"/>
        <v>0.31546506556566745</v>
      </c>
      <c r="G20" s="199">
        <f t="shared" si="2"/>
        <v>3.408389699015212</v>
      </c>
      <c r="H20" s="200">
        <f t="shared" si="3"/>
        <v>1.0225169097045637</v>
      </c>
      <c r="I20" s="200">
        <f t="shared" si="4"/>
        <v>3.2414630828563018</v>
      </c>
      <c r="J20" s="201">
        <f>[1]Datos!$L$40*'[1]FOCO70 y 30'!F20/100</f>
        <v>206045.79427343752</v>
      </c>
      <c r="K20" s="201">
        <f>[1]Datos!$K$40*22.5%*'[1]FOCO70 y 30'!I20/100</f>
        <v>94948.363942891534</v>
      </c>
      <c r="L20" s="201">
        <f t="shared" si="5"/>
        <v>300994.15821632906</v>
      </c>
      <c r="M20" s="201">
        <f t="shared" si="6"/>
        <v>4133690.3957163291</v>
      </c>
      <c r="N20" s="202"/>
      <c r="Q20" s="203"/>
      <c r="R20" s="127"/>
    </row>
    <row r="21" spans="1:18" x14ac:dyDescent="0.2">
      <c r="A21" s="192" t="s">
        <v>57</v>
      </c>
      <c r="B21" s="196">
        <v>2.58</v>
      </c>
      <c r="C21" s="197">
        <f>[1]FOCO!D20</f>
        <v>1958090.3550000002</v>
      </c>
      <c r="D21" s="198">
        <v>2.1630833407835541</v>
      </c>
      <c r="E21" s="198">
        <f t="shared" si="0"/>
        <v>1.5141583385484878</v>
      </c>
      <c r="F21" s="199">
        <f t="shared" si="1"/>
        <v>0.4623030380501939</v>
      </c>
      <c r="G21" s="199">
        <f t="shared" si="2"/>
        <v>4.9948760883817034</v>
      </c>
      <c r="H21" s="200">
        <f t="shared" si="3"/>
        <v>1.498462826514511</v>
      </c>
      <c r="I21" s="200">
        <f t="shared" si="4"/>
        <v>3.012621165062999</v>
      </c>
      <c r="J21" s="201">
        <f>[1]Datos!$L$40*'[1]FOCO70 y 30'!F21/100</f>
        <v>140600.95792176621</v>
      </c>
      <c r="K21" s="201">
        <f>[1]Datos!$K$40*22.5%*'[1]FOCO70 y 30'!I21/100</f>
        <v>139143.51191307121</v>
      </c>
      <c r="L21" s="201">
        <f t="shared" si="5"/>
        <v>279744.46983483742</v>
      </c>
      <c r="M21" s="201">
        <f t="shared" si="6"/>
        <v>2237834.8248348376</v>
      </c>
      <c r="N21" s="202"/>
      <c r="Q21" s="203"/>
      <c r="R21" s="127"/>
    </row>
    <row r="22" spans="1:18" x14ac:dyDescent="0.2">
      <c r="A22" s="192" t="s">
        <v>58</v>
      </c>
      <c r="B22" s="196">
        <v>3.39</v>
      </c>
      <c r="C22" s="197">
        <f>[1]FOCO!D21</f>
        <v>2572839.6525000003</v>
      </c>
      <c r="D22" s="198">
        <v>3.9742704697510276</v>
      </c>
      <c r="E22" s="198">
        <f t="shared" si="0"/>
        <v>2.7819893288257194</v>
      </c>
      <c r="F22" s="199">
        <f t="shared" si="1"/>
        <v>0.25161850649350648</v>
      </c>
      <c r="G22" s="199">
        <f t="shared" si="2"/>
        <v>2.718570197547082</v>
      </c>
      <c r="H22" s="200">
        <f t="shared" si="3"/>
        <v>0.81557105926412454</v>
      </c>
      <c r="I22" s="200">
        <f t="shared" si="4"/>
        <v>3.5975603880898439</v>
      </c>
      <c r="J22" s="201">
        <f>[1]Datos!$L$40*'[1]FOCO70 y 30'!F22/100</f>
        <v>258328.57410143423</v>
      </c>
      <c r="K22" s="201">
        <f>[1]Datos!$K$40*22.5%*'[1]FOCO70 y 30'!I22/100</f>
        <v>75731.889635618441</v>
      </c>
      <c r="L22" s="201">
        <f t="shared" si="5"/>
        <v>334060.46373705269</v>
      </c>
      <c r="M22" s="201">
        <f t="shared" si="6"/>
        <v>2906900.1162370532</v>
      </c>
      <c r="N22" s="202"/>
      <c r="Q22" s="203"/>
      <c r="R22" s="127"/>
    </row>
    <row r="23" spans="1:18" x14ac:dyDescent="0.2">
      <c r="A23" s="192" t="s">
        <v>59</v>
      </c>
      <c r="B23" s="196">
        <v>0.82</v>
      </c>
      <c r="C23" s="197">
        <f>[1]FOCO!D22</f>
        <v>622338.79499999993</v>
      </c>
      <c r="D23" s="198">
        <v>0.69217929563613667</v>
      </c>
      <c r="E23" s="198">
        <f t="shared" si="0"/>
        <v>0.48452550694529561</v>
      </c>
      <c r="F23" s="199">
        <f t="shared" si="1"/>
        <v>1.4447123834886819</v>
      </c>
      <c r="G23" s="199">
        <f t="shared" si="2"/>
        <v>15.609154050363543</v>
      </c>
      <c r="H23" s="200">
        <f t="shared" si="3"/>
        <v>4.6827462151090629</v>
      </c>
      <c r="I23" s="200">
        <f t="shared" si="4"/>
        <v>5.1672717220543589</v>
      </c>
      <c r="J23" s="201">
        <f>[1]Datos!$L$40*'[1]FOCO70 y 30'!F23/100</f>
        <v>44991.827261172788</v>
      </c>
      <c r="K23" s="201">
        <f>[1]Datos!$K$40*22.5%*'[1]FOCO70 y 30'!I23/100</f>
        <v>434828.10666948982</v>
      </c>
      <c r="L23" s="201">
        <f t="shared" si="5"/>
        <v>479819.93393066258</v>
      </c>
      <c r="M23" s="201">
        <f t="shared" si="6"/>
        <v>1102158.7289306624</v>
      </c>
      <c r="N23" s="202"/>
      <c r="Q23" s="203"/>
      <c r="R23" s="127"/>
    </row>
    <row r="24" spans="1:18" x14ac:dyDescent="0.2">
      <c r="A24" s="192" t="s">
        <v>60</v>
      </c>
      <c r="B24" s="196">
        <v>2.27</v>
      </c>
      <c r="C24" s="197">
        <f>[1]FOCO!D23</f>
        <v>1722815.9325000001</v>
      </c>
      <c r="D24" s="198">
        <v>2.0656621003724496</v>
      </c>
      <c r="E24" s="198">
        <f t="shared" si="0"/>
        <v>1.4459634702607147</v>
      </c>
      <c r="F24" s="199">
        <f t="shared" si="1"/>
        <v>0.48410628234874176</v>
      </c>
      <c r="G24" s="199">
        <f t="shared" si="2"/>
        <v>5.2304456058464304</v>
      </c>
      <c r="H24" s="200">
        <f t="shared" si="3"/>
        <v>1.569133681753929</v>
      </c>
      <c r="I24" s="200">
        <f t="shared" si="4"/>
        <v>3.0150971520146435</v>
      </c>
      <c r="J24" s="201">
        <f>[1]Datos!$L$40*'[1]FOCO70 y 30'!F24/100</f>
        <v>134268.55293973431</v>
      </c>
      <c r="K24" s="201">
        <f>[1]Datos!$K$40*22.5%*'[1]FOCO70 y 30'!I24/100</f>
        <v>145705.83085346545</v>
      </c>
      <c r="L24" s="201">
        <f t="shared" si="5"/>
        <v>279974.38379319978</v>
      </c>
      <c r="M24" s="201">
        <f t="shared" si="6"/>
        <v>2002790.3162932</v>
      </c>
      <c r="N24" s="202"/>
      <c r="Q24" s="203"/>
      <c r="R24" s="127"/>
    </row>
    <row r="25" spans="1:18" x14ac:dyDescent="0.2">
      <c r="A25" s="192" t="s">
        <v>61</v>
      </c>
      <c r="B25" s="196">
        <v>8.59</v>
      </c>
      <c r="C25" s="197">
        <f>[1]FOCO!D24</f>
        <v>6519378.352500001</v>
      </c>
      <c r="D25" s="198">
        <v>8.5784148817626882</v>
      </c>
      <c r="E25" s="198">
        <f t="shared" si="0"/>
        <v>6.0048904172338817</v>
      </c>
      <c r="F25" s="199">
        <f t="shared" si="1"/>
        <v>0.11657165266347208</v>
      </c>
      <c r="G25" s="199">
        <f t="shared" si="2"/>
        <v>1.2594789835854288</v>
      </c>
      <c r="H25" s="200">
        <f t="shared" si="3"/>
        <v>0.37784369507562859</v>
      </c>
      <c r="I25" s="200">
        <f t="shared" si="4"/>
        <v>6.3827341123095103</v>
      </c>
      <c r="J25" s="201">
        <f>[1]Datos!$L$40*'[1]FOCO70 y 30'!F25/100</f>
        <v>557599.11191829515</v>
      </c>
      <c r="K25" s="201">
        <f>[1]Datos!$K$40*22.5%*'[1]FOCO70 y 30'!I25/100</f>
        <v>35085.620915485182</v>
      </c>
      <c r="L25" s="201">
        <f t="shared" si="5"/>
        <v>592684.73283378035</v>
      </c>
      <c r="M25" s="201">
        <f t="shared" si="6"/>
        <v>7112063.0853337813</v>
      </c>
      <c r="N25" s="202"/>
      <c r="Q25" s="203"/>
      <c r="R25" s="127"/>
    </row>
    <row r="26" spans="1:18" x14ac:dyDescent="0.2">
      <c r="A26" s="192" t="s">
        <v>62</v>
      </c>
      <c r="B26" s="196">
        <v>4.55</v>
      </c>
      <c r="C26" s="197">
        <f>[1]FOCO!D25</f>
        <v>3453221.3625000003</v>
      </c>
      <c r="D26" s="198">
        <v>3.6642183857936419</v>
      </c>
      <c r="E26" s="198">
        <f t="shared" si="0"/>
        <v>2.5649528700555493</v>
      </c>
      <c r="F26" s="199">
        <f t="shared" si="1"/>
        <v>0.27290949793741826</v>
      </c>
      <c r="G26" s="199">
        <f t="shared" si="2"/>
        <v>2.9486051644589542</v>
      </c>
      <c r="H26" s="200">
        <f t="shared" si="3"/>
        <v>0.88458154933768618</v>
      </c>
      <c r="I26" s="200">
        <f t="shared" si="4"/>
        <v>3.4495344193932356</v>
      </c>
      <c r="J26" s="201">
        <f>[1]Datos!$L$40*'[1]FOCO70 y 30'!F26/100</f>
        <v>238175.11113118316</v>
      </c>
      <c r="K26" s="201">
        <f>[1]Datos!$K$40*22.5%*'[1]FOCO70 y 30'!I26/100</f>
        <v>82140.031217624186</v>
      </c>
      <c r="L26" s="201">
        <f t="shared" si="5"/>
        <v>320315.14234880736</v>
      </c>
      <c r="M26" s="201">
        <f t="shared" si="6"/>
        <v>3773536.5048488076</v>
      </c>
      <c r="N26" s="202"/>
      <c r="Q26" s="203"/>
      <c r="R26" s="127"/>
    </row>
    <row r="27" spans="1:18" x14ac:dyDescent="0.2">
      <c r="A27" s="192" t="s">
        <v>63</v>
      </c>
      <c r="B27" s="196">
        <v>29.02</v>
      </c>
      <c r="C27" s="197">
        <f>[1]FOCO!D26</f>
        <v>22024721.745000001</v>
      </c>
      <c r="D27" s="198">
        <v>35.046669106037996</v>
      </c>
      <c r="E27" s="198">
        <f t="shared" si="0"/>
        <v>24.532668374226596</v>
      </c>
      <c r="F27" s="199">
        <f t="shared" si="1"/>
        <v>2.8533382073325637E-2</v>
      </c>
      <c r="G27" s="199">
        <f t="shared" si="2"/>
        <v>0.30828416884260101</v>
      </c>
      <c r="H27" s="200">
        <f t="shared" si="3"/>
        <v>9.2485250652780307E-2</v>
      </c>
      <c r="I27" s="200">
        <f t="shared" si="4"/>
        <v>24.625153624879378</v>
      </c>
      <c r="J27" s="201">
        <f>[1]Datos!$L$40*'[1]FOCO70 y 30'!F27/100</f>
        <v>2278042.2535597463</v>
      </c>
      <c r="K27" s="201">
        <f>[1]Datos!$K$40*22.5%*'[1]FOCO70 y 30'!I27/100</f>
        <v>8587.9491624905477</v>
      </c>
      <c r="L27" s="201">
        <f t="shared" si="5"/>
        <v>2286630.202722237</v>
      </c>
      <c r="M27" s="201">
        <f t="shared" si="6"/>
        <v>24311351.947722238</v>
      </c>
      <c r="N27" s="202"/>
      <c r="Q27" s="203"/>
      <c r="R27" s="127"/>
    </row>
    <row r="28" spans="1:18" x14ac:dyDescent="0.2">
      <c r="A28" s="192" t="s">
        <v>64</v>
      </c>
      <c r="B28" s="196">
        <v>2.73</v>
      </c>
      <c r="C28" s="197">
        <f>[1]FOCO!D27</f>
        <v>2071932.8175000001</v>
      </c>
      <c r="D28" s="198">
        <v>2.7677955057194654</v>
      </c>
      <c r="E28" s="198">
        <f t="shared" si="0"/>
        <v>1.9374568540036257</v>
      </c>
      <c r="F28" s="199">
        <f t="shared" si="1"/>
        <v>0.36129836829836831</v>
      </c>
      <c r="G28" s="199">
        <f t="shared" si="2"/>
        <v>3.9035879759650411</v>
      </c>
      <c r="H28" s="200">
        <f t="shared" si="3"/>
        <v>1.1710763927895123</v>
      </c>
      <c r="I28" s="200">
        <f t="shared" si="4"/>
        <v>3.1085332467931379</v>
      </c>
      <c r="J28" s="201">
        <f>[1]Datos!$L$40*'[1]FOCO70 y 30'!F28/100</f>
        <v>179907.39982064164</v>
      </c>
      <c r="K28" s="201">
        <f>[1]Datos!$K$40*22.5%*'[1]FOCO70 y 30'!I28/100</f>
        <v>108743.22614345214</v>
      </c>
      <c r="L28" s="201">
        <f t="shared" si="5"/>
        <v>288650.62596409378</v>
      </c>
      <c r="M28" s="201">
        <f t="shared" si="6"/>
        <v>2360583.4434640938</v>
      </c>
      <c r="N28" s="202"/>
      <c r="Q28" s="203"/>
      <c r="R28" s="127"/>
    </row>
    <row r="29" spans="1:18" x14ac:dyDescent="0.2">
      <c r="A29" s="204" t="s">
        <v>65</v>
      </c>
      <c r="B29" s="205">
        <v>3.89</v>
      </c>
      <c r="C29" s="206">
        <f>[1]FOCO!D28</f>
        <v>2952314.5275000008</v>
      </c>
      <c r="D29" s="207">
        <v>4.5256175465147246</v>
      </c>
      <c r="E29" s="207">
        <f t="shared" si="0"/>
        <v>3.1679322825603071</v>
      </c>
      <c r="F29" s="208">
        <f t="shared" si="1"/>
        <v>0.22096431917233517</v>
      </c>
      <c r="G29" s="208">
        <f t="shared" si="2"/>
        <v>2.3873721420355629</v>
      </c>
      <c r="H29" s="209">
        <f t="shared" si="3"/>
        <v>0.71621164261066883</v>
      </c>
      <c r="I29" s="209">
        <f t="shared" si="4"/>
        <v>3.8841439251709762</v>
      </c>
      <c r="J29" s="210">
        <f>[1]Datos!$L$40*'[1]FOCO70 y 30'!F29/100</f>
        <v>294166.27192784374</v>
      </c>
      <c r="K29" s="210">
        <f>[1]Datos!$K$40*22.5%*'[1]FOCO70 y 30'!I29/100</f>
        <v>66505.622603720185</v>
      </c>
      <c r="L29" s="210">
        <f t="shared" si="5"/>
        <v>360671.89453156391</v>
      </c>
      <c r="M29" s="210">
        <f t="shared" si="6"/>
        <v>3312986.4220315646</v>
      </c>
      <c r="N29" s="202"/>
      <c r="Q29" s="203"/>
      <c r="R29" s="127"/>
    </row>
    <row r="30" spans="1:18" x14ac:dyDescent="0.2">
      <c r="A30" s="204" t="s">
        <v>66</v>
      </c>
      <c r="B30" s="205">
        <f>SUM(B10:B29)</f>
        <v>100</v>
      </c>
      <c r="C30" s="206">
        <f>SUM(C10:C29)</f>
        <v>75894975</v>
      </c>
      <c r="D30" s="207">
        <f t="shared" ref="D30" si="7">SUM(D10:D29)</f>
        <v>99.999999999999986</v>
      </c>
      <c r="E30" s="207">
        <f>SUM(E10:E29)</f>
        <v>70</v>
      </c>
      <c r="F30" s="208">
        <f>SUM(F10:F29)</f>
        <v>9.2555456806131922</v>
      </c>
      <c r="G30" s="208">
        <f t="shared" si="2"/>
        <v>100</v>
      </c>
      <c r="H30" s="209">
        <f>SUM(H10:H29)</f>
        <v>30.000000000000007</v>
      </c>
      <c r="I30" s="209">
        <f t="shared" si="4"/>
        <v>100</v>
      </c>
      <c r="J30" s="210">
        <f>SUM(J10:J29)</f>
        <v>6500025</v>
      </c>
      <c r="K30" s="210">
        <f>SUM(K10:K29)</f>
        <v>2785725.0000000005</v>
      </c>
      <c r="L30" s="210">
        <f t="shared" si="5"/>
        <v>9285750</v>
      </c>
      <c r="M30" s="210">
        <f t="shared" si="6"/>
        <v>85180725</v>
      </c>
      <c r="N30" s="211"/>
      <c r="Q30" s="203"/>
      <c r="R30" s="127"/>
    </row>
    <row r="32" spans="1:18" x14ac:dyDescent="0.2">
      <c r="A32" s="82" t="s">
        <v>95</v>
      </c>
    </row>
    <row r="35" spans="8:8" x14ac:dyDescent="0.2">
      <c r="H35" s="127"/>
    </row>
  </sheetData>
  <mergeCells count="5">
    <mergeCell ref="A4:M4"/>
    <mergeCell ref="A5:A9"/>
    <mergeCell ref="D5:E5"/>
    <mergeCell ref="F5:H5"/>
    <mergeCell ref="L3:M3"/>
  </mergeCells>
  <printOptions horizontalCentered="1"/>
  <pageMargins left="0.27559055118110237" right="0.70866141732283472" top="0.74803149606299213" bottom="0.74803149606299213" header="0.31496062992125984" footer="0.31496062992125984"/>
  <pageSetup paperSize="5" scale="99" orientation="landscape" r:id="rId1"/>
  <ignoredErrors>
    <ignoredError sqref="B9 C9 D9 K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18.140625" style="82" customWidth="1"/>
    <col min="2" max="2" width="13.140625" style="82" customWidth="1"/>
    <col min="3" max="4" width="12.85546875" style="82" customWidth="1"/>
    <col min="5" max="5" width="11.85546875" style="82" customWidth="1"/>
    <col min="6" max="7" width="14.7109375" style="82" customWidth="1"/>
    <col min="8" max="8" width="12.7109375" style="82" customWidth="1"/>
    <col min="9" max="9" width="15.5703125" style="82" customWidth="1"/>
    <col min="10" max="10" width="14.140625" style="82" customWidth="1"/>
    <col min="11" max="11" width="17.5703125" style="82" customWidth="1"/>
    <col min="12" max="12" width="16.5703125" style="82" hidden="1" customWidth="1"/>
    <col min="13" max="13" width="14.85546875" style="82" hidden="1" customWidth="1"/>
    <col min="14" max="15" width="15.42578125" style="83" customWidth="1"/>
    <col min="16" max="16" width="15.85546875" style="82" customWidth="1"/>
    <col min="17" max="17" width="14.7109375" style="82" customWidth="1"/>
    <col min="18" max="18" width="15.140625" style="82" customWidth="1"/>
    <col min="19" max="16384" width="11.42578125" style="82"/>
  </cols>
  <sheetData>
    <row r="2" spans="1:22" x14ac:dyDescent="0.2">
      <c r="K2" s="274" t="s">
        <v>200</v>
      </c>
      <c r="P2" s="260"/>
    </row>
    <row r="3" spans="1:22" x14ac:dyDescent="0.2">
      <c r="K3" s="260"/>
    </row>
    <row r="4" spans="1:22" x14ac:dyDescent="0.2">
      <c r="A4" s="365" t="s">
        <v>201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277"/>
      <c r="M4" s="277"/>
      <c r="N4" s="277"/>
      <c r="O4" s="277"/>
      <c r="P4" s="277"/>
    </row>
    <row r="5" spans="1:22" x14ac:dyDescent="0.2">
      <c r="A5" s="288" t="s">
        <v>72</v>
      </c>
      <c r="B5" s="296" t="s">
        <v>202</v>
      </c>
      <c r="C5" s="296"/>
      <c r="D5" s="366" t="s">
        <v>203</v>
      </c>
      <c r="E5" s="366"/>
      <c r="F5" s="296" t="s">
        <v>28</v>
      </c>
      <c r="G5" s="296"/>
      <c r="H5" s="296"/>
      <c r="I5" s="296"/>
      <c r="J5" s="142" t="s">
        <v>204</v>
      </c>
      <c r="K5" s="142" t="s">
        <v>76</v>
      </c>
      <c r="L5" s="362"/>
      <c r="M5" s="362"/>
      <c r="N5" s="277"/>
      <c r="O5" s="277"/>
      <c r="P5" s="277"/>
      <c r="Q5" s="277"/>
      <c r="R5" s="189"/>
      <c r="S5" s="189"/>
      <c r="T5" s="212"/>
      <c r="U5" s="212"/>
      <c r="V5" s="212"/>
    </row>
    <row r="6" spans="1:22" x14ac:dyDescent="0.2">
      <c r="A6" s="289"/>
      <c r="B6" s="255" t="s">
        <v>164</v>
      </c>
      <c r="C6" s="358" t="s">
        <v>205</v>
      </c>
      <c r="D6" s="272" t="s">
        <v>206</v>
      </c>
      <c r="E6" s="358" t="s">
        <v>205</v>
      </c>
      <c r="F6" s="255"/>
      <c r="G6" s="255" t="s">
        <v>207</v>
      </c>
      <c r="H6" s="255"/>
      <c r="I6" s="255" t="s">
        <v>205</v>
      </c>
      <c r="J6" s="91" t="s">
        <v>208</v>
      </c>
      <c r="K6" s="91" t="s">
        <v>209</v>
      </c>
      <c r="L6" s="362"/>
      <c r="M6" s="362"/>
      <c r="N6" s="277"/>
      <c r="O6" s="277"/>
      <c r="P6" s="277"/>
      <c r="Q6" s="277"/>
      <c r="R6" s="189"/>
      <c r="S6" s="189"/>
      <c r="T6" s="212"/>
      <c r="U6" s="212"/>
      <c r="V6" s="212"/>
    </row>
    <row r="7" spans="1:22" x14ac:dyDescent="0.2">
      <c r="A7" s="289"/>
      <c r="B7" s="255" t="s">
        <v>210</v>
      </c>
      <c r="C7" s="358"/>
      <c r="D7" s="272" t="s">
        <v>211</v>
      </c>
      <c r="E7" s="358"/>
      <c r="F7" s="255"/>
      <c r="G7" s="255"/>
      <c r="H7" s="255"/>
      <c r="I7" s="255"/>
      <c r="J7" s="91"/>
      <c r="K7" s="91" t="s">
        <v>143</v>
      </c>
      <c r="L7" s="275"/>
      <c r="M7" s="275"/>
      <c r="N7" s="277"/>
      <c r="O7" s="277"/>
      <c r="P7" s="277"/>
      <c r="Q7" s="277"/>
      <c r="R7" s="189"/>
      <c r="S7" s="189"/>
      <c r="T7" s="212"/>
      <c r="U7" s="212"/>
      <c r="V7" s="212"/>
    </row>
    <row r="8" spans="1:22" x14ac:dyDescent="0.2">
      <c r="A8" s="289"/>
      <c r="B8" s="363">
        <v>0.6</v>
      </c>
      <c r="C8" s="363"/>
      <c r="D8" s="364">
        <v>0.3</v>
      </c>
      <c r="E8" s="364"/>
      <c r="F8" s="276">
        <v>1</v>
      </c>
      <c r="G8" s="276"/>
      <c r="H8" s="276">
        <v>0.1</v>
      </c>
      <c r="I8" s="276"/>
      <c r="J8" s="91" t="s">
        <v>32</v>
      </c>
      <c r="K8" s="132"/>
      <c r="L8" s="277"/>
      <c r="M8" s="277"/>
      <c r="N8" s="277"/>
      <c r="O8" s="277"/>
      <c r="P8" s="277"/>
      <c r="Q8" s="277"/>
      <c r="R8" s="189"/>
      <c r="S8" s="189"/>
      <c r="T8" s="212"/>
      <c r="U8" s="212"/>
      <c r="V8" s="212"/>
    </row>
    <row r="9" spans="1:22" x14ac:dyDescent="0.2">
      <c r="A9" s="290"/>
      <c r="B9" s="256">
        <v>1</v>
      </c>
      <c r="C9" s="273" t="s">
        <v>212</v>
      </c>
      <c r="D9" s="273">
        <v>3</v>
      </c>
      <c r="E9" s="273" t="s">
        <v>213</v>
      </c>
      <c r="F9" s="256" t="s">
        <v>214</v>
      </c>
      <c r="G9" s="256" t="s">
        <v>215</v>
      </c>
      <c r="H9" s="273" t="s">
        <v>216</v>
      </c>
      <c r="I9" s="256" t="s">
        <v>217</v>
      </c>
      <c r="J9" s="141" t="s">
        <v>218</v>
      </c>
      <c r="K9" s="133" t="s">
        <v>219</v>
      </c>
      <c r="L9" s="135"/>
      <c r="M9" s="135"/>
      <c r="N9" s="135"/>
      <c r="O9" s="135"/>
      <c r="P9" s="135"/>
      <c r="Q9" s="277"/>
      <c r="R9" s="135"/>
      <c r="S9" s="135"/>
      <c r="T9" s="212"/>
      <c r="U9" s="212"/>
      <c r="V9" s="212"/>
    </row>
    <row r="10" spans="1:22" x14ac:dyDescent="0.2">
      <c r="A10" s="213" t="s">
        <v>46</v>
      </c>
      <c r="B10" s="214">
        <v>3.3707564846877225</v>
      </c>
      <c r="C10" s="215">
        <f>B10*60%</f>
        <v>2.0224538908126335</v>
      </c>
      <c r="D10" s="215">
        <v>5.6616370146493367</v>
      </c>
      <c r="E10" s="215">
        <f>D10*30%</f>
        <v>1.698491104394801</v>
      </c>
      <c r="F10" s="214">
        <f>C10+E10</f>
        <v>3.7209449952074345</v>
      </c>
      <c r="G10" s="214">
        <f>1/F10</f>
        <v>0.26874893374881836</v>
      </c>
      <c r="H10" s="214">
        <f t="shared" ref="H10:H29" si="0">G10/$G$30*100</f>
        <v>4.2169784736254066</v>
      </c>
      <c r="I10" s="214">
        <f>H10*10%</f>
        <v>0.42169784736254068</v>
      </c>
      <c r="J10" s="216">
        <f t="shared" ref="J10:J29" si="1">C10+E10+I10</f>
        <v>4.1426428425699751</v>
      </c>
      <c r="K10" s="217">
        <f>[1]Datos!K$58*J10%*22.5%</f>
        <v>234803.96065615554</v>
      </c>
      <c r="L10" s="218">
        <v>242554.84</v>
      </c>
      <c r="M10" s="219">
        <f>K10-L10</f>
        <v>-7750.8793438444554</v>
      </c>
      <c r="N10" s="220"/>
      <c r="O10" s="221"/>
      <c r="P10" s="221"/>
      <c r="Q10" s="220"/>
      <c r="R10" s="222"/>
      <c r="S10" s="223"/>
      <c r="T10" s="224"/>
      <c r="U10" s="212"/>
      <c r="V10" s="212"/>
    </row>
    <row r="11" spans="1:22" x14ac:dyDescent="0.2">
      <c r="A11" s="213" t="s">
        <v>47</v>
      </c>
      <c r="B11" s="214">
        <v>1.4036216369164749</v>
      </c>
      <c r="C11" s="215">
        <f t="shared" ref="C11:C29" si="2">B11*60%</f>
        <v>0.8421729821498849</v>
      </c>
      <c r="D11" s="215">
        <v>5.4156453975493903</v>
      </c>
      <c r="E11" s="215">
        <f t="shared" ref="E11:E29" si="3">D11*30%</f>
        <v>1.6246936192648171</v>
      </c>
      <c r="F11" s="214">
        <f t="shared" ref="F11:F29" si="4">C11+E11</f>
        <v>2.466866601414702</v>
      </c>
      <c r="G11" s="214">
        <f t="shared" ref="G11:G29" si="5">1/F11</f>
        <v>0.40537254808448847</v>
      </c>
      <c r="H11" s="214">
        <f t="shared" si="0"/>
        <v>6.360759409258435</v>
      </c>
      <c r="I11" s="214">
        <f t="shared" ref="I11:I29" si="6">H11*10%</f>
        <v>0.63607594092584352</v>
      </c>
      <c r="J11" s="216">
        <f t="shared" si="1"/>
        <v>3.1029425423405455</v>
      </c>
      <c r="K11" s="217">
        <f>[1]Datos!K$58*J11%*22.5%</f>
        <v>175874.00756422654</v>
      </c>
      <c r="L11" s="218">
        <v>166701.88</v>
      </c>
      <c r="M11" s="219">
        <f t="shared" ref="M11:M30" si="7">K11-L11</f>
        <v>9172.1275642265391</v>
      </c>
      <c r="N11" s="220"/>
      <c r="O11" s="225"/>
      <c r="P11" s="221"/>
      <c r="Q11" s="220"/>
      <c r="R11" s="222"/>
      <c r="S11" s="223"/>
      <c r="T11" s="224"/>
      <c r="U11" s="212"/>
      <c r="V11" s="212"/>
    </row>
    <row r="12" spans="1:22" x14ac:dyDescent="0.2">
      <c r="A12" s="213" t="s">
        <v>48</v>
      </c>
      <c r="B12" s="214">
        <v>1.0311720319010782</v>
      </c>
      <c r="C12" s="215">
        <f t="shared" si="2"/>
        <v>0.61870321914064685</v>
      </c>
      <c r="D12" s="215">
        <v>5.1287270903939026</v>
      </c>
      <c r="E12" s="215">
        <f t="shared" si="3"/>
        <v>1.5386181271181707</v>
      </c>
      <c r="F12" s="214">
        <f t="shared" si="4"/>
        <v>2.1573213462588177</v>
      </c>
      <c r="G12" s="214">
        <f t="shared" si="5"/>
        <v>0.46353780429335639</v>
      </c>
      <c r="H12" s="214">
        <f t="shared" si="0"/>
        <v>7.273438875272431</v>
      </c>
      <c r="I12" s="214">
        <f t="shared" si="6"/>
        <v>0.7273438875272431</v>
      </c>
      <c r="J12" s="216">
        <f t="shared" si="1"/>
        <v>2.8846652337860608</v>
      </c>
      <c r="K12" s="217">
        <f>[1]Datos!K$58*J12%*22.5%</f>
        <v>163502.10428468548</v>
      </c>
      <c r="L12" s="218">
        <v>149080.42000000001</v>
      </c>
      <c r="M12" s="219">
        <f t="shared" si="7"/>
        <v>14421.684284685471</v>
      </c>
      <c r="N12" s="220"/>
      <c r="O12" s="221"/>
      <c r="P12" s="221"/>
      <c r="Q12" s="220"/>
      <c r="R12" s="222"/>
      <c r="S12" s="223"/>
      <c r="T12" s="224"/>
      <c r="U12" s="212"/>
      <c r="V12" s="212"/>
    </row>
    <row r="13" spans="1:22" x14ac:dyDescent="0.2">
      <c r="A13" s="213" t="s">
        <v>49</v>
      </c>
      <c r="B13" s="214">
        <v>11.447687005923617</v>
      </c>
      <c r="C13" s="215">
        <f t="shared" si="2"/>
        <v>6.8686122035541706</v>
      </c>
      <c r="D13" s="215">
        <v>4.4879206308503923</v>
      </c>
      <c r="E13" s="215">
        <f t="shared" si="3"/>
        <v>1.3463761892551176</v>
      </c>
      <c r="F13" s="214">
        <f t="shared" si="4"/>
        <v>8.2149883928092891</v>
      </c>
      <c r="G13" s="214">
        <f t="shared" si="5"/>
        <v>0.12172871733760647</v>
      </c>
      <c r="H13" s="214">
        <f t="shared" si="0"/>
        <v>1.910062947875697</v>
      </c>
      <c r="I13" s="214">
        <f t="shared" si="6"/>
        <v>0.1910062947875697</v>
      </c>
      <c r="J13" s="216">
        <f t="shared" si="1"/>
        <v>8.4059946875968592</v>
      </c>
      <c r="K13" s="217">
        <f>[1]Datos!K$58*J13%*22.5%</f>
        <v>476449.6773943181</v>
      </c>
      <c r="L13" s="218">
        <v>477302.79</v>
      </c>
      <c r="M13" s="219">
        <f t="shared" si="7"/>
        <v>-853.11260568187572</v>
      </c>
      <c r="N13" s="220"/>
      <c r="O13" s="221"/>
      <c r="P13" s="221"/>
      <c r="Q13" s="220"/>
      <c r="R13" s="222"/>
      <c r="S13" s="223"/>
      <c r="T13" s="224"/>
      <c r="U13" s="212"/>
      <c r="V13" s="212"/>
    </row>
    <row r="14" spans="1:22" x14ac:dyDescent="0.2">
      <c r="A14" s="213" t="s">
        <v>50</v>
      </c>
      <c r="B14" s="214">
        <v>6.4885126808905982</v>
      </c>
      <c r="C14" s="215">
        <f t="shared" si="2"/>
        <v>3.8931076085343586</v>
      </c>
      <c r="D14" s="215">
        <v>4.4505714728802213</v>
      </c>
      <c r="E14" s="215">
        <f t="shared" si="3"/>
        <v>1.3351714418640663</v>
      </c>
      <c r="F14" s="214">
        <f t="shared" si="4"/>
        <v>5.2282790503984247</v>
      </c>
      <c r="G14" s="214">
        <f t="shared" si="5"/>
        <v>0.19126752615161088</v>
      </c>
      <c r="H14" s="214">
        <f t="shared" si="0"/>
        <v>3.0012064763716446</v>
      </c>
      <c r="I14" s="214">
        <f t="shared" si="6"/>
        <v>0.30012064763716451</v>
      </c>
      <c r="J14" s="216">
        <f t="shared" si="1"/>
        <v>5.5283996980355887</v>
      </c>
      <c r="K14" s="217">
        <f>[1]Datos!K$58*J14%*22.5%</f>
        <v>313348.31278473273</v>
      </c>
      <c r="L14" s="218">
        <v>316638.56</v>
      </c>
      <c r="M14" s="219">
        <f t="shared" si="7"/>
        <v>-3290.2472152672708</v>
      </c>
      <c r="N14" s="220"/>
      <c r="O14" s="221"/>
      <c r="P14" s="221"/>
      <c r="Q14" s="220"/>
      <c r="R14" s="222"/>
      <c r="S14" s="223"/>
      <c r="T14" s="224"/>
      <c r="U14" s="212"/>
      <c r="V14" s="212"/>
    </row>
    <row r="15" spans="1:22" x14ac:dyDescent="0.2">
      <c r="A15" s="213" t="s">
        <v>51</v>
      </c>
      <c r="B15" s="214">
        <v>3.1613515100292262</v>
      </c>
      <c r="C15" s="215">
        <f t="shared" si="2"/>
        <v>1.8968109060175355</v>
      </c>
      <c r="D15" s="215">
        <v>5.0099270257306987</v>
      </c>
      <c r="E15" s="215">
        <f t="shared" si="3"/>
        <v>1.5029781077192095</v>
      </c>
      <c r="F15" s="214">
        <f t="shared" si="4"/>
        <v>3.3997890137367452</v>
      </c>
      <c r="G15" s="214">
        <f t="shared" si="5"/>
        <v>0.29413589959833686</v>
      </c>
      <c r="H15" s="214">
        <f t="shared" si="0"/>
        <v>4.6153290345178313</v>
      </c>
      <c r="I15" s="214">
        <f t="shared" si="6"/>
        <v>0.46153290345178316</v>
      </c>
      <c r="J15" s="216">
        <f t="shared" si="1"/>
        <v>3.8613219171885285</v>
      </c>
      <c r="K15" s="217">
        <f>[1]Datos!K$58*J15%*22.5%</f>
        <v>218858.76093576651</v>
      </c>
      <c r="L15" s="218">
        <v>214551.11</v>
      </c>
      <c r="M15" s="219">
        <f t="shared" si="7"/>
        <v>4307.65093576652</v>
      </c>
      <c r="N15" s="220"/>
      <c r="O15" s="221"/>
      <c r="P15" s="221"/>
      <c r="Q15" s="220"/>
      <c r="R15" s="222"/>
      <c r="S15" s="223"/>
      <c r="T15" s="224"/>
      <c r="U15" s="212"/>
      <c r="V15" s="212"/>
    </row>
    <row r="16" spans="1:22" x14ac:dyDescent="0.2">
      <c r="A16" s="213" t="s">
        <v>52</v>
      </c>
      <c r="B16" s="214">
        <v>1.050711580592804</v>
      </c>
      <c r="C16" s="215">
        <f t="shared" si="2"/>
        <v>0.63042694835568236</v>
      </c>
      <c r="D16" s="215">
        <v>8.1246059575916991</v>
      </c>
      <c r="E16" s="215">
        <f t="shared" si="3"/>
        <v>2.4373817872775096</v>
      </c>
      <c r="F16" s="214">
        <f t="shared" si="4"/>
        <v>3.067808735633192</v>
      </c>
      <c r="G16" s="214">
        <f t="shared" si="5"/>
        <v>0.32596556245009883</v>
      </c>
      <c r="H16" s="214">
        <f t="shared" si="0"/>
        <v>5.1147728879177699</v>
      </c>
      <c r="I16" s="214">
        <f t="shared" si="6"/>
        <v>0.51147728879177701</v>
      </c>
      <c r="J16" s="216">
        <f t="shared" si="1"/>
        <v>3.5792860244249689</v>
      </c>
      <c r="K16" s="217">
        <f>[1]Datos!K$58*J16%*22.5%</f>
        <v>202873.03704290112</v>
      </c>
      <c r="L16" s="218">
        <v>149720.85</v>
      </c>
      <c r="M16" s="219">
        <f t="shared" si="7"/>
        <v>53152.187042901118</v>
      </c>
      <c r="N16" s="220"/>
      <c r="O16" s="221"/>
      <c r="P16" s="221"/>
      <c r="Q16" s="220"/>
      <c r="R16" s="222"/>
      <c r="S16" s="223"/>
      <c r="T16" s="224"/>
      <c r="U16" s="212"/>
      <c r="V16" s="212"/>
    </row>
    <row r="17" spans="1:22" x14ac:dyDescent="0.2">
      <c r="A17" s="213" t="s">
        <v>53</v>
      </c>
      <c r="B17" s="214">
        <v>2.5136892050445216</v>
      </c>
      <c r="C17" s="215">
        <f t="shared" si="2"/>
        <v>1.5082135230267129</v>
      </c>
      <c r="D17" s="215">
        <v>3.693267845075793</v>
      </c>
      <c r="E17" s="215">
        <f t="shared" si="3"/>
        <v>1.1079803535227379</v>
      </c>
      <c r="F17" s="214">
        <f t="shared" si="4"/>
        <v>2.6161938765494508</v>
      </c>
      <c r="G17" s="214">
        <f t="shared" si="5"/>
        <v>0.38223466883078233</v>
      </c>
      <c r="H17" s="214">
        <f t="shared" si="0"/>
        <v>5.9976995921377583</v>
      </c>
      <c r="I17" s="214">
        <f t="shared" si="6"/>
        <v>0.59976995921377585</v>
      </c>
      <c r="J17" s="216">
        <f t="shared" si="1"/>
        <v>3.2159638357632265</v>
      </c>
      <c r="K17" s="217">
        <f>[1]Datos!K$58*J17%*22.5%</f>
        <v>182280.02622010076</v>
      </c>
      <c r="L17" s="218">
        <v>234686.7</v>
      </c>
      <c r="M17" s="219">
        <f t="shared" si="7"/>
        <v>-52406.673779899254</v>
      </c>
      <c r="N17" s="220"/>
      <c r="O17" s="221"/>
      <c r="P17" s="221"/>
      <c r="Q17" s="220"/>
      <c r="R17" s="222"/>
      <c r="S17" s="223"/>
      <c r="T17" s="224"/>
      <c r="U17" s="212"/>
      <c r="V17" s="212"/>
    </row>
    <row r="18" spans="1:22" x14ac:dyDescent="0.2">
      <c r="A18" s="213" t="s">
        <v>54</v>
      </c>
      <c r="B18" s="214">
        <v>1.6311836450290742</v>
      </c>
      <c r="C18" s="215">
        <f t="shared" si="2"/>
        <v>0.9787101870174445</v>
      </c>
      <c r="D18" s="215">
        <v>5.0787939032149918</v>
      </c>
      <c r="E18" s="215">
        <f t="shared" si="3"/>
        <v>1.5236381709644975</v>
      </c>
      <c r="F18" s="214">
        <f t="shared" si="4"/>
        <v>2.5023483579819419</v>
      </c>
      <c r="G18" s="214">
        <f t="shared" si="5"/>
        <v>0.39962461533791632</v>
      </c>
      <c r="H18" s="214">
        <f t="shared" si="0"/>
        <v>6.2705677633901917</v>
      </c>
      <c r="I18" s="214">
        <f t="shared" si="6"/>
        <v>0.62705677633901924</v>
      </c>
      <c r="J18" s="216">
        <f t="shared" si="1"/>
        <v>3.1294051343209612</v>
      </c>
      <c r="K18" s="217">
        <f>[1]Datos!K$58*J18%*22.5%</f>
        <v>177373.90066202849</v>
      </c>
      <c r="L18" s="218">
        <v>186182.1</v>
      </c>
      <c r="M18" s="219">
        <f t="shared" si="7"/>
        <v>-8808.1993379715132</v>
      </c>
      <c r="N18" s="220"/>
      <c r="O18" s="221"/>
      <c r="P18" s="221"/>
      <c r="Q18" s="220"/>
      <c r="R18" s="222"/>
      <c r="S18" s="223"/>
      <c r="T18" s="224"/>
      <c r="U18" s="212"/>
      <c r="V18" s="212"/>
    </row>
    <row r="19" spans="1:22" x14ac:dyDescent="0.2">
      <c r="A19" s="213" t="s">
        <v>55</v>
      </c>
      <c r="B19" s="214">
        <v>1.2534804821107137</v>
      </c>
      <c r="C19" s="215">
        <f t="shared" si="2"/>
        <v>0.75208828926642823</v>
      </c>
      <c r="D19" s="215">
        <v>3.9640553674611709</v>
      </c>
      <c r="E19" s="215">
        <f t="shared" si="3"/>
        <v>1.1892166102383512</v>
      </c>
      <c r="F19" s="214">
        <f t="shared" si="4"/>
        <v>1.9413048995047795</v>
      </c>
      <c r="G19" s="214">
        <f t="shared" si="5"/>
        <v>0.51511743480124983</v>
      </c>
      <c r="H19" s="214">
        <f t="shared" si="0"/>
        <v>8.0827823338501368</v>
      </c>
      <c r="I19" s="214">
        <f t="shared" si="6"/>
        <v>0.8082782333850137</v>
      </c>
      <c r="J19" s="216">
        <f t="shared" si="1"/>
        <v>2.7495831328897933</v>
      </c>
      <c r="K19" s="217">
        <f>[1]Datos!K$58*J19%*22.5%</f>
        <v>155845.68457641025</v>
      </c>
      <c r="L19" s="218">
        <v>162542.64000000001</v>
      </c>
      <c r="M19" s="219">
        <f t="shared" si="7"/>
        <v>-6696.9554235897667</v>
      </c>
      <c r="N19" s="220"/>
      <c r="O19" s="221"/>
      <c r="P19" s="221"/>
      <c r="Q19" s="220"/>
      <c r="R19" s="222"/>
      <c r="S19" s="223"/>
      <c r="T19" s="224"/>
      <c r="U19" s="212"/>
      <c r="V19" s="212"/>
    </row>
    <row r="20" spans="1:22" x14ac:dyDescent="0.2">
      <c r="A20" s="213" t="s">
        <v>56</v>
      </c>
      <c r="B20" s="214">
        <v>3.1699231045024834</v>
      </c>
      <c r="C20" s="215">
        <f t="shared" si="2"/>
        <v>1.90195386270149</v>
      </c>
      <c r="D20" s="215">
        <v>6.4019987979004389</v>
      </c>
      <c r="E20" s="215">
        <f t="shared" si="3"/>
        <v>1.9205996393701317</v>
      </c>
      <c r="F20" s="214">
        <f t="shared" si="4"/>
        <v>3.8225535020716217</v>
      </c>
      <c r="G20" s="214">
        <f t="shared" si="5"/>
        <v>0.26160523311395195</v>
      </c>
      <c r="H20" s="214">
        <f t="shared" si="0"/>
        <v>4.1048856315105002</v>
      </c>
      <c r="I20" s="214">
        <f t="shared" si="6"/>
        <v>0.41048856315105003</v>
      </c>
      <c r="J20" s="216">
        <f t="shared" si="1"/>
        <v>4.2330420652226719</v>
      </c>
      <c r="K20" s="217">
        <f>[1]Datos!K$58*J20%*22.5%</f>
        <v>239927.76599630475</v>
      </c>
      <c r="L20" s="218">
        <v>203539.16</v>
      </c>
      <c r="M20" s="219">
        <f t="shared" si="7"/>
        <v>36388.605996304745</v>
      </c>
      <c r="N20" s="220"/>
      <c r="O20" s="221"/>
      <c r="P20" s="221"/>
      <c r="Q20" s="220"/>
      <c r="R20" s="222"/>
      <c r="S20" s="223"/>
      <c r="T20" s="224"/>
      <c r="U20" s="212"/>
      <c r="V20" s="212"/>
    </row>
    <row r="21" spans="1:22" x14ac:dyDescent="0.2">
      <c r="A21" s="213" t="s">
        <v>57</v>
      </c>
      <c r="B21" s="214">
        <v>2.1630833407835541</v>
      </c>
      <c r="C21" s="215">
        <f t="shared" si="2"/>
        <v>1.2978500044701324</v>
      </c>
      <c r="D21" s="215">
        <v>3.3358323859508947</v>
      </c>
      <c r="E21" s="215">
        <f t="shared" si="3"/>
        <v>1.0007497157852683</v>
      </c>
      <c r="F21" s="214">
        <f t="shared" si="4"/>
        <v>2.2985997202554005</v>
      </c>
      <c r="G21" s="214">
        <f t="shared" si="5"/>
        <v>0.43504747311501835</v>
      </c>
      <c r="H21" s="214">
        <f t="shared" si="0"/>
        <v>6.826392959184072</v>
      </c>
      <c r="I21" s="214">
        <f t="shared" si="6"/>
        <v>0.68263929591840722</v>
      </c>
      <c r="J21" s="216">
        <f t="shared" si="1"/>
        <v>2.9812390161738076</v>
      </c>
      <c r="K21" s="217">
        <f>[1]Datos!K$58*J21%*22.5%</f>
        <v>168975.88212697735</v>
      </c>
      <c r="L21" s="218">
        <v>190752.64000000001</v>
      </c>
      <c r="M21" s="219">
        <f t="shared" si="7"/>
        <v>-21776.757873022667</v>
      </c>
      <c r="N21" s="220"/>
      <c r="O21" s="221"/>
      <c r="P21" s="221"/>
      <c r="Q21" s="220"/>
      <c r="R21" s="222"/>
      <c r="S21" s="223"/>
      <c r="T21" s="224"/>
      <c r="U21" s="212"/>
      <c r="V21" s="212"/>
    </row>
    <row r="22" spans="1:22" x14ac:dyDescent="0.2">
      <c r="A22" s="213" t="s">
        <v>58</v>
      </c>
      <c r="B22" s="214">
        <v>3.9742704697510276</v>
      </c>
      <c r="C22" s="215">
        <f t="shared" si="2"/>
        <v>2.3845622818506165</v>
      </c>
      <c r="D22" s="215">
        <v>1.8536626537615557</v>
      </c>
      <c r="E22" s="215">
        <f t="shared" si="3"/>
        <v>0.55609879612846669</v>
      </c>
      <c r="F22" s="214">
        <f t="shared" si="4"/>
        <v>2.9406610779790832</v>
      </c>
      <c r="G22" s="214">
        <f t="shared" si="5"/>
        <v>0.34005958982775131</v>
      </c>
      <c r="H22" s="214">
        <f t="shared" si="0"/>
        <v>5.3359243143781132</v>
      </c>
      <c r="I22" s="214">
        <f t="shared" si="6"/>
        <v>0.53359243143781132</v>
      </c>
      <c r="J22" s="216">
        <f t="shared" si="1"/>
        <v>3.4742535094168945</v>
      </c>
      <c r="K22" s="217">
        <f>[1]Datos!K$58*J22%*22.5%</f>
        <v>196919.8203503722</v>
      </c>
      <c r="L22" s="218">
        <v>237750.75</v>
      </c>
      <c r="M22" s="219">
        <f t="shared" si="7"/>
        <v>-40830.929649627797</v>
      </c>
      <c r="N22" s="220"/>
      <c r="O22" s="221"/>
      <c r="P22" s="221"/>
      <c r="Q22" s="220"/>
      <c r="R22" s="222"/>
      <c r="S22" s="223"/>
      <c r="T22" s="224"/>
      <c r="U22" s="212"/>
      <c r="V22" s="212"/>
    </row>
    <row r="23" spans="1:22" x14ac:dyDescent="0.2">
      <c r="A23" s="213" t="s">
        <v>59</v>
      </c>
      <c r="B23" s="214">
        <v>0.69217929563613667</v>
      </c>
      <c r="C23" s="215">
        <f t="shared" si="2"/>
        <v>0.415307577381682</v>
      </c>
      <c r="D23" s="215">
        <v>3.7154181106639057</v>
      </c>
      <c r="E23" s="215">
        <f t="shared" si="3"/>
        <v>1.1146254331991716</v>
      </c>
      <c r="F23" s="214">
        <f t="shared" si="4"/>
        <v>1.5299330105808537</v>
      </c>
      <c r="G23" s="214">
        <f t="shared" si="5"/>
        <v>0.65362338944522835</v>
      </c>
      <c r="H23" s="214">
        <f t="shared" si="0"/>
        <v>10.256099344099159</v>
      </c>
      <c r="I23" s="214">
        <f t="shared" si="6"/>
        <v>1.0256099344099159</v>
      </c>
      <c r="J23" s="216">
        <f t="shared" si="1"/>
        <v>2.5555429449907696</v>
      </c>
      <c r="K23" s="217">
        <f>[1]Datos!K$58*J23%*22.5%</f>
        <v>144847.53523634057</v>
      </c>
      <c r="L23" s="218">
        <v>138778.88</v>
      </c>
      <c r="M23" s="219">
        <f t="shared" si="7"/>
        <v>6068.6552363405644</v>
      </c>
      <c r="N23" s="220"/>
      <c r="O23" s="221"/>
      <c r="P23" s="221"/>
      <c r="Q23" s="220"/>
      <c r="R23" s="222"/>
      <c r="S23" s="223"/>
      <c r="T23" s="224"/>
      <c r="U23" s="212"/>
      <c r="V23" s="212"/>
    </row>
    <row r="24" spans="1:22" x14ac:dyDescent="0.2">
      <c r="A24" s="213" t="s">
        <v>60</v>
      </c>
      <c r="B24" s="214">
        <v>2.0656621003724496</v>
      </c>
      <c r="C24" s="215">
        <f t="shared" si="2"/>
        <v>1.2393972602234697</v>
      </c>
      <c r="D24" s="215">
        <v>5.1407681220722585</v>
      </c>
      <c r="E24" s="215">
        <f t="shared" si="3"/>
        <v>1.5422304366216775</v>
      </c>
      <c r="F24" s="214">
        <f t="shared" si="4"/>
        <v>2.7816276968451472</v>
      </c>
      <c r="G24" s="214">
        <f t="shared" si="5"/>
        <v>0.35950174106124089</v>
      </c>
      <c r="H24" s="214">
        <f t="shared" si="0"/>
        <v>5.6409939274513441</v>
      </c>
      <c r="I24" s="214">
        <f t="shared" si="6"/>
        <v>0.56409939274513443</v>
      </c>
      <c r="J24" s="216">
        <f t="shared" si="1"/>
        <v>3.3457270895902815</v>
      </c>
      <c r="K24" s="217">
        <f>[1]Datos!K$58*J24%*22.5%</f>
        <v>189634.97500620477</v>
      </c>
      <c r="L24" s="218">
        <v>176445.39</v>
      </c>
      <c r="M24" s="219">
        <f t="shared" si="7"/>
        <v>13189.585006204754</v>
      </c>
      <c r="N24" s="220"/>
      <c r="O24" s="221"/>
      <c r="P24" s="221"/>
      <c r="Q24" s="220"/>
      <c r="R24" s="222"/>
      <c r="S24" s="223"/>
      <c r="T24" s="224"/>
      <c r="U24" s="212"/>
      <c r="V24" s="212"/>
    </row>
    <row r="25" spans="1:22" x14ac:dyDescent="0.2">
      <c r="A25" s="213" t="s">
        <v>61</v>
      </c>
      <c r="B25" s="214">
        <v>8.5784148817626882</v>
      </c>
      <c r="C25" s="215">
        <f t="shared" si="2"/>
        <v>5.1470489290576129</v>
      </c>
      <c r="D25" s="215">
        <v>4.4054159588583683</v>
      </c>
      <c r="E25" s="215">
        <f t="shared" si="3"/>
        <v>1.3216247876575105</v>
      </c>
      <c r="F25" s="214">
        <f t="shared" si="4"/>
        <v>6.4686737167151236</v>
      </c>
      <c r="G25" s="214">
        <f t="shared" si="5"/>
        <v>0.15459119501049945</v>
      </c>
      <c r="H25" s="214">
        <f t="shared" si="0"/>
        <v>2.4257128483367234</v>
      </c>
      <c r="I25" s="214">
        <f t="shared" si="6"/>
        <v>0.24257128483367235</v>
      </c>
      <c r="J25" s="216">
        <f t="shared" si="1"/>
        <v>6.7112450015487957</v>
      </c>
      <c r="K25" s="217">
        <f>[1]Datos!K$58*J25%*22.5%</f>
        <v>380391.68887653539</v>
      </c>
      <c r="L25" s="218">
        <v>391781.03</v>
      </c>
      <c r="M25" s="219">
        <f t="shared" si="7"/>
        <v>-11389.341123464634</v>
      </c>
      <c r="N25" s="220"/>
      <c r="O25" s="221"/>
      <c r="P25" s="221"/>
      <c r="Q25" s="220"/>
      <c r="R25" s="222"/>
      <c r="S25" s="223"/>
      <c r="T25" s="224"/>
      <c r="U25" s="212"/>
      <c r="V25" s="212"/>
    </row>
    <row r="26" spans="1:22" x14ac:dyDescent="0.2">
      <c r="A26" s="213" t="s">
        <v>62</v>
      </c>
      <c r="B26" s="214">
        <v>3.6642183857936419</v>
      </c>
      <c r="C26" s="215">
        <f t="shared" si="2"/>
        <v>2.1985310314761852</v>
      </c>
      <c r="D26" s="215">
        <v>10.967943756693289</v>
      </c>
      <c r="E26" s="215">
        <f t="shared" si="3"/>
        <v>3.2903831270079866</v>
      </c>
      <c r="F26" s="214">
        <f t="shared" si="4"/>
        <v>5.4889141584841719</v>
      </c>
      <c r="G26" s="214">
        <f t="shared" si="5"/>
        <v>0.18218539607771198</v>
      </c>
      <c r="H26" s="214">
        <f t="shared" si="0"/>
        <v>2.858697456960638</v>
      </c>
      <c r="I26" s="214">
        <f t="shared" si="6"/>
        <v>0.28586974569606383</v>
      </c>
      <c r="J26" s="216">
        <f t="shared" si="1"/>
        <v>5.7747839041802358</v>
      </c>
      <c r="K26" s="217">
        <f>[1]Datos!K$58*J26%*22.5%</f>
        <v>327313.30799295969</v>
      </c>
      <c r="L26" s="218">
        <v>229114.69</v>
      </c>
      <c r="M26" s="219">
        <f t="shared" si="7"/>
        <v>98198.617992959684</v>
      </c>
      <c r="N26" s="220"/>
      <c r="O26" s="221"/>
      <c r="P26" s="221"/>
      <c r="Q26" s="220"/>
      <c r="R26" s="222"/>
      <c r="S26" s="223"/>
      <c r="T26" s="224"/>
      <c r="U26" s="212"/>
      <c r="V26" s="212"/>
    </row>
    <row r="27" spans="1:22" x14ac:dyDescent="0.2">
      <c r="A27" s="213" t="s">
        <v>63</v>
      </c>
      <c r="B27" s="214">
        <v>35.046669106037996</v>
      </c>
      <c r="C27" s="215">
        <f t="shared" si="2"/>
        <v>21.028001463622797</v>
      </c>
      <c r="D27" s="215">
        <v>3.9468802009478452</v>
      </c>
      <c r="E27" s="215">
        <f t="shared" si="3"/>
        <v>1.1840640602843535</v>
      </c>
      <c r="F27" s="214">
        <f t="shared" si="4"/>
        <v>22.21206552390715</v>
      </c>
      <c r="G27" s="214">
        <f t="shared" si="5"/>
        <v>4.5020576718706615E-2</v>
      </c>
      <c r="H27" s="214">
        <f t="shared" si="0"/>
        <v>0.7064243948607728</v>
      </c>
      <c r="I27" s="214">
        <f t="shared" si="6"/>
        <v>7.0642439486077277E-2</v>
      </c>
      <c r="J27" s="216">
        <f t="shared" si="1"/>
        <v>22.282707963393229</v>
      </c>
      <c r="K27" s="217">
        <f>[1]Datos!K$58*J27%*22.5%</f>
        <v>1262978.3166881374</v>
      </c>
      <c r="L27" s="218">
        <v>1284416.78</v>
      </c>
      <c r="M27" s="219">
        <f t="shared" si="7"/>
        <v>-21438.463311862666</v>
      </c>
      <c r="N27" s="220"/>
      <c r="O27" s="221"/>
      <c r="P27" s="221"/>
      <c r="Q27" s="220"/>
      <c r="R27" s="222"/>
      <c r="S27" s="223"/>
      <c r="T27" s="224"/>
      <c r="U27" s="212"/>
      <c r="V27" s="212"/>
    </row>
    <row r="28" spans="1:22" x14ac:dyDescent="0.2">
      <c r="A28" s="213" t="s">
        <v>64</v>
      </c>
      <c r="B28" s="214">
        <v>2.7677955057194654</v>
      </c>
      <c r="C28" s="215">
        <f t="shared" si="2"/>
        <v>1.6606773034316793</v>
      </c>
      <c r="D28" s="215">
        <v>4.5393040762784445</v>
      </c>
      <c r="E28" s="215">
        <f t="shared" si="3"/>
        <v>1.3617912228835334</v>
      </c>
      <c r="F28" s="214">
        <f t="shared" si="4"/>
        <v>3.0224685263152127</v>
      </c>
      <c r="G28" s="214">
        <f t="shared" si="5"/>
        <v>0.33085538899527656</v>
      </c>
      <c r="H28" s="214">
        <f t="shared" si="0"/>
        <v>5.1914998650005844</v>
      </c>
      <c r="I28" s="214">
        <f t="shared" si="6"/>
        <v>0.5191499865000585</v>
      </c>
      <c r="J28" s="216">
        <f t="shared" si="1"/>
        <v>3.5416185128152713</v>
      </c>
      <c r="K28" s="217">
        <f>[1]Datos!K$58*J28%*22.5%</f>
        <v>200738.05190174139</v>
      </c>
      <c r="L28" s="218">
        <v>202350.32</v>
      </c>
      <c r="M28" s="219">
        <f t="shared" si="7"/>
        <v>-1612.2680982586171</v>
      </c>
      <c r="N28" s="220"/>
      <c r="O28" s="221"/>
      <c r="P28" s="221"/>
      <c r="Q28" s="220"/>
      <c r="R28" s="222"/>
      <c r="S28" s="223"/>
      <c r="T28" s="224"/>
      <c r="U28" s="212"/>
      <c r="V28" s="212"/>
    </row>
    <row r="29" spans="1:22" x14ac:dyDescent="0.2">
      <c r="A29" s="226" t="s">
        <v>65</v>
      </c>
      <c r="B29" s="227">
        <v>4.5256175465147246</v>
      </c>
      <c r="C29" s="228">
        <f t="shared" si="2"/>
        <v>2.7153705279088345</v>
      </c>
      <c r="D29" s="228">
        <v>4.6776242314754093</v>
      </c>
      <c r="E29" s="228">
        <f t="shared" si="3"/>
        <v>1.4032872694426228</v>
      </c>
      <c r="F29" s="227">
        <f t="shared" si="4"/>
        <v>4.1186577973514575</v>
      </c>
      <c r="G29" s="227">
        <f t="shared" si="5"/>
        <v>0.242797544540617</v>
      </c>
      <c r="H29" s="227">
        <f t="shared" si="0"/>
        <v>3.8097714640007925</v>
      </c>
      <c r="I29" s="227">
        <f t="shared" si="6"/>
        <v>0.38097714640007929</v>
      </c>
      <c r="J29" s="107">
        <f t="shared" si="1"/>
        <v>4.4996349437515368</v>
      </c>
      <c r="K29" s="229">
        <f>[1]Datos!K$58*J29%*22.5%</f>
        <v>255038.18370310115</v>
      </c>
      <c r="L29" s="218">
        <v>270108.51</v>
      </c>
      <c r="M29" s="219">
        <f t="shared" si="7"/>
        <v>-15070.326296898857</v>
      </c>
      <c r="N29" s="220"/>
      <c r="O29" s="221"/>
      <c r="P29" s="221"/>
      <c r="Q29" s="220"/>
      <c r="R29" s="222"/>
      <c r="S29" s="223"/>
      <c r="T29" s="224"/>
      <c r="U29" s="212"/>
      <c r="V29" s="212"/>
    </row>
    <row r="30" spans="1:22" x14ac:dyDescent="0.2">
      <c r="A30" s="226" t="s">
        <v>66</v>
      </c>
      <c r="B30" s="230">
        <f>SUM(B10:B29)</f>
        <v>99.999999999999986</v>
      </c>
      <c r="C30" s="243">
        <f t="shared" ref="C30:J30" si="8">SUM(C10:C29)</f>
        <v>59.999999999999993</v>
      </c>
      <c r="D30" s="243">
        <f t="shared" si="8"/>
        <v>100</v>
      </c>
      <c r="E30" s="243">
        <f t="shared" si="8"/>
        <v>29.999999999999996</v>
      </c>
      <c r="F30" s="230">
        <f>SUM(F10:F29)</f>
        <v>90</v>
      </c>
      <c r="G30" s="230">
        <f>SUM(G10:G29)</f>
        <v>6.3730212385402671</v>
      </c>
      <c r="H30" s="230">
        <f t="shared" si="8"/>
        <v>100</v>
      </c>
      <c r="I30" s="230">
        <f t="shared" si="8"/>
        <v>10</v>
      </c>
      <c r="J30" s="230">
        <f t="shared" si="8"/>
        <v>100</v>
      </c>
      <c r="K30" s="229">
        <f>SUM(K10:K29)</f>
        <v>5667975</v>
      </c>
      <c r="L30" s="231">
        <f>SUM(L10:L29)</f>
        <v>5625000.04</v>
      </c>
      <c r="M30" s="219">
        <f t="shared" si="7"/>
        <v>42974.959999999963</v>
      </c>
      <c r="N30" s="232"/>
      <c r="O30" s="233"/>
      <c r="P30" s="233"/>
      <c r="Q30" s="232"/>
      <c r="R30" s="189"/>
      <c r="S30" s="223"/>
      <c r="T30" s="224"/>
      <c r="U30" s="212"/>
      <c r="V30" s="212"/>
    </row>
    <row r="31" spans="1:22" x14ac:dyDescent="0.2">
      <c r="G31" s="127"/>
      <c r="J31" s="234"/>
      <c r="K31" s="212"/>
      <c r="L31" s="212"/>
      <c r="M31" s="220"/>
      <c r="N31" s="194"/>
      <c r="O31" s="194"/>
      <c r="P31" s="212"/>
      <c r="Q31" s="212"/>
      <c r="R31" s="212"/>
      <c r="S31" s="212"/>
      <c r="T31" s="212"/>
      <c r="U31" s="212"/>
      <c r="V31" s="212"/>
    </row>
    <row r="32" spans="1:22" x14ac:dyDescent="0.2">
      <c r="A32" s="82" t="s">
        <v>95</v>
      </c>
      <c r="H32" s="127"/>
      <c r="J32" s="127"/>
      <c r="K32" s="235"/>
    </row>
    <row r="33" spans="9:9" x14ac:dyDescent="0.2">
      <c r="I33" s="127"/>
    </row>
  </sheetData>
  <mergeCells count="10">
    <mergeCell ref="A4:K4"/>
    <mergeCell ref="A5:A9"/>
    <mergeCell ref="B5:C5"/>
    <mergeCell ref="D5:E5"/>
    <mergeCell ref="F5:I5"/>
    <mergeCell ref="L5:M6"/>
    <mergeCell ref="C6:C7"/>
    <mergeCell ref="E6:E7"/>
    <mergeCell ref="B8:C8"/>
    <mergeCell ref="D8:E8"/>
  </mergeCells>
  <printOptions horizontalCentered="1"/>
  <pageMargins left="0.39370078740157483" right="0.70866141732283472" top="0.74803149606299213" bottom="0.74803149606299213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workbookViewId="0">
      <selection activeCell="B3" sqref="B3:H3"/>
    </sheetView>
  </sheetViews>
  <sheetFormatPr baseColWidth="10" defaultColWidth="11.42578125" defaultRowHeight="15" x14ac:dyDescent="0.25"/>
  <cols>
    <col min="1" max="1" width="3.5703125" customWidth="1"/>
    <col min="2" max="2" width="24.28515625" customWidth="1"/>
    <col min="3" max="3" width="15.7109375" customWidth="1"/>
    <col min="4" max="4" width="17.85546875" customWidth="1"/>
    <col min="5" max="5" width="19.28515625" customWidth="1"/>
    <col min="6" max="6" width="15.42578125" customWidth="1"/>
    <col min="7" max="8" width="12.42578125" bestFit="1" customWidth="1"/>
  </cols>
  <sheetData>
    <row r="1" spans="2:11" ht="15.75" x14ac:dyDescent="0.25">
      <c r="B1" s="383" t="s">
        <v>220</v>
      </c>
      <c r="C1" s="383"/>
      <c r="D1" s="383"/>
      <c r="E1" s="383"/>
      <c r="F1" s="383"/>
      <c r="G1" s="383"/>
      <c r="H1" s="383"/>
    </row>
    <row r="2" spans="2:11" ht="15.75" x14ac:dyDescent="0.25">
      <c r="B2" s="383" t="s">
        <v>221</v>
      </c>
      <c r="C2" s="383"/>
      <c r="D2" s="383"/>
      <c r="E2" s="383"/>
      <c r="F2" s="383"/>
      <c r="G2" s="383"/>
      <c r="H2" s="383"/>
    </row>
    <row r="3" spans="2:11" ht="15.75" x14ac:dyDescent="0.25">
      <c r="B3" s="383" t="s">
        <v>222</v>
      </c>
      <c r="C3" s="383"/>
      <c r="D3" s="383"/>
      <c r="E3" s="383"/>
      <c r="F3" s="383"/>
      <c r="G3" s="383"/>
      <c r="H3" s="383"/>
    </row>
    <row r="4" spans="2:11" ht="15.75" x14ac:dyDescent="0.25">
      <c r="B4" s="384" t="s">
        <v>223</v>
      </c>
      <c r="C4" s="384"/>
      <c r="D4" s="384"/>
      <c r="E4" s="384"/>
      <c r="F4" s="384"/>
      <c r="G4" s="384"/>
      <c r="H4" s="384"/>
    </row>
    <row r="5" spans="2:11" x14ac:dyDescent="0.25">
      <c r="B5" s="379" t="s">
        <v>1</v>
      </c>
      <c r="C5" s="380">
        <v>2013</v>
      </c>
      <c r="D5" s="381"/>
      <c r="E5" s="382"/>
      <c r="F5" s="380">
        <v>2014</v>
      </c>
      <c r="G5" s="381"/>
      <c r="H5" s="382"/>
      <c r="I5" s="16"/>
      <c r="J5" s="16"/>
      <c r="K5" s="16"/>
    </row>
    <row r="6" spans="2:11" x14ac:dyDescent="0.25">
      <c r="B6" s="379"/>
      <c r="C6" s="4" t="s">
        <v>224</v>
      </c>
      <c r="D6" s="4" t="s">
        <v>225</v>
      </c>
      <c r="E6" s="4" t="s">
        <v>226</v>
      </c>
      <c r="F6" s="4" t="s">
        <v>224</v>
      </c>
      <c r="G6" s="4" t="s">
        <v>225</v>
      </c>
      <c r="H6" s="4" t="s">
        <v>226</v>
      </c>
      <c r="I6" s="16"/>
      <c r="J6" s="16"/>
      <c r="K6" s="16"/>
    </row>
    <row r="7" spans="2:11" x14ac:dyDescent="0.25">
      <c r="B7" s="9" t="s">
        <v>227</v>
      </c>
      <c r="C7" s="9">
        <v>2150123</v>
      </c>
      <c r="D7" s="9">
        <v>6601181.8200000003</v>
      </c>
      <c r="E7" s="9">
        <f>SUM(C7:D7)</f>
        <v>8751304.8200000003</v>
      </c>
      <c r="F7" s="9">
        <v>3921861</v>
      </c>
      <c r="G7" s="9">
        <v>6674015</v>
      </c>
      <c r="H7" s="14">
        <f t="shared" ref="H7:H26" si="0">F7+G7</f>
        <v>10595876</v>
      </c>
    </row>
    <row r="8" spans="2:11" x14ac:dyDescent="0.25">
      <c r="B8" s="9" t="s">
        <v>228</v>
      </c>
      <c r="C8" s="9">
        <v>1502301</v>
      </c>
      <c r="D8" s="9">
        <v>1532070</v>
      </c>
      <c r="E8" s="9">
        <f t="shared" ref="E8:E26" si="1">SUM(C8:D8)</f>
        <v>3034371</v>
      </c>
      <c r="F8" s="9">
        <v>1727695</v>
      </c>
      <c r="G8" s="9">
        <v>1786622</v>
      </c>
      <c r="H8" s="14">
        <f>F8+G8</f>
        <v>3514317</v>
      </c>
    </row>
    <row r="9" spans="2:11" x14ac:dyDescent="0.25">
      <c r="B9" s="9" t="s">
        <v>229</v>
      </c>
      <c r="C9" s="9">
        <v>1779908.65</v>
      </c>
      <c r="D9" s="9">
        <v>1130139</v>
      </c>
      <c r="E9" s="9">
        <f t="shared" si="1"/>
        <v>2910047.65</v>
      </c>
      <c r="F9" s="9">
        <v>1615790</v>
      </c>
      <c r="G9" s="9">
        <v>1575981</v>
      </c>
      <c r="H9" s="14">
        <f t="shared" si="0"/>
        <v>3191771</v>
      </c>
    </row>
    <row r="10" spans="2:11" x14ac:dyDescent="0.25">
      <c r="B10" s="9" t="s">
        <v>230</v>
      </c>
      <c r="C10" s="9">
        <v>88352172.160000011</v>
      </c>
      <c r="D10" s="9">
        <v>78553743.359999999</v>
      </c>
      <c r="E10" s="9">
        <f t="shared" si="1"/>
        <v>166905915.52000001</v>
      </c>
      <c r="F10" s="9">
        <v>79726602</v>
      </c>
      <c r="G10" s="9">
        <v>80464700</v>
      </c>
      <c r="H10" s="14">
        <f>F10+G10</f>
        <v>160191302</v>
      </c>
    </row>
    <row r="11" spans="2:11" x14ac:dyDescent="0.25">
      <c r="B11" s="9" t="s">
        <v>231</v>
      </c>
      <c r="C11" s="9">
        <v>11777750.638357153</v>
      </c>
      <c r="D11" s="9">
        <v>25101661.439999998</v>
      </c>
      <c r="E11" s="9">
        <f t="shared" si="1"/>
        <v>36879412.078357153</v>
      </c>
      <c r="F11" s="9">
        <v>12923845</v>
      </c>
      <c r="G11" s="9">
        <v>22177342</v>
      </c>
      <c r="H11" s="14">
        <f t="shared" si="0"/>
        <v>35101187</v>
      </c>
    </row>
    <row r="12" spans="2:11" x14ac:dyDescent="0.25">
      <c r="B12" s="9" t="s">
        <v>232</v>
      </c>
      <c r="C12" s="9">
        <v>9730</v>
      </c>
      <c r="D12" s="9">
        <v>52381</v>
      </c>
      <c r="E12" s="9">
        <f t="shared" si="1"/>
        <v>62111</v>
      </c>
      <c r="F12" s="9">
        <v>12070</v>
      </c>
      <c r="G12" s="9">
        <v>54476</v>
      </c>
      <c r="H12" s="14">
        <f>F12+G12</f>
        <v>66546</v>
      </c>
    </row>
    <row r="13" spans="2:11" x14ac:dyDescent="0.25">
      <c r="B13" s="9" t="s">
        <v>233</v>
      </c>
      <c r="C13" s="9">
        <v>13924.36</v>
      </c>
      <c r="D13" s="9">
        <v>101472.6</v>
      </c>
      <c r="E13" s="9">
        <f t="shared" si="1"/>
        <v>115396.96</v>
      </c>
      <c r="F13" s="9">
        <v>20381</v>
      </c>
      <c r="G13" s="9">
        <v>180121</v>
      </c>
      <c r="H13" s="14">
        <f>F13+G13</f>
        <v>200502</v>
      </c>
    </row>
    <row r="14" spans="2:11" x14ac:dyDescent="0.25">
      <c r="B14" s="9" t="s">
        <v>234</v>
      </c>
      <c r="C14" s="9">
        <v>4905326</v>
      </c>
      <c r="D14" s="9">
        <v>9261403.879999999</v>
      </c>
      <c r="E14" s="9">
        <f t="shared" si="1"/>
        <v>14166729.879999999</v>
      </c>
      <c r="F14" s="9">
        <v>5150592</v>
      </c>
      <c r="G14" s="9">
        <v>6038696</v>
      </c>
      <c r="H14" s="14">
        <f t="shared" si="0"/>
        <v>11189288</v>
      </c>
    </row>
    <row r="15" spans="2:11" x14ac:dyDescent="0.25">
      <c r="B15" s="9" t="s">
        <v>235</v>
      </c>
      <c r="C15" s="9">
        <v>1148287.73</v>
      </c>
      <c r="D15" s="9">
        <v>1286129</v>
      </c>
      <c r="E15" s="9">
        <f t="shared" si="1"/>
        <v>2434416.73</v>
      </c>
      <c r="F15" s="9">
        <v>794901</v>
      </c>
      <c r="G15" s="9">
        <v>1849197</v>
      </c>
      <c r="H15" s="14">
        <f t="shared" si="0"/>
        <v>2644098</v>
      </c>
    </row>
    <row r="16" spans="2:11" x14ac:dyDescent="0.25">
      <c r="B16" s="9" t="s">
        <v>236</v>
      </c>
      <c r="C16" s="9">
        <v>339560</v>
      </c>
      <c r="D16" s="9">
        <v>293560</v>
      </c>
      <c r="E16" s="9">
        <f t="shared" si="1"/>
        <v>633120</v>
      </c>
      <c r="F16" s="9">
        <v>410354</v>
      </c>
      <c r="G16" s="9">
        <v>126366</v>
      </c>
      <c r="H16" s="14">
        <f>F16+G16</f>
        <v>536720</v>
      </c>
    </row>
    <row r="17" spans="2:8" x14ac:dyDescent="0.25">
      <c r="B17" s="9" t="s">
        <v>237</v>
      </c>
      <c r="C17" s="9">
        <v>735142</v>
      </c>
      <c r="D17" s="9">
        <v>489980</v>
      </c>
      <c r="E17" s="9">
        <f t="shared" si="1"/>
        <v>1225122</v>
      </c>
      <c r="F17" s="9">
        <v>769102</v>
      </c>
      <c r="G17" s="9">
        <v>908222</v>
      </c>
      <c r="H17" s="14">
        <f t="shared" si="0"/>
        <v>1677324</v>
      </c>
    </row>
    <row r="18" spans="2:8" x14ac:dyDescent="0.25">
      <c r="B18" s="9" t="s">
        <v>238</v>
      </c>
      <c r="C18" s="9">
        <v>491665.95</v>
      </c>
      <c r="D18" s="9">
        <v>1625310.25</v>
      </c>
      <c r="E18" s="9">
        <f t="shared" si="1"/>
        <v>2116976.2000000002</v>
      </c>
      <c r="F18" s="9">
        <v>316115</v>
      </c>
      <c r="G18" s="9">
        <v>1194112</v>
      </c>
      <c r="H18" s="14">
        <f t="shared" si="0"/>
        <v>1510227</v>
      </c>
    </row>
    <row r="19" spans="2:8" x14ac:dyDescent="0.25">
      <c r="B19" s="9" t="s">
        <v>239</v>
      </c>
      <c r="C19" s="9">
        <v>1956037</v>
      </c>
      <c r="D19" s="9">
        <v>6859350</v>
      </c>
      <c r="E19" s="9">
        <f t="shared" si="1"/>
        <v>8815387</v>
      </c>
      <c r="F19" s="9">
        <v>2071561</v>
      </c>
      <c r="G19" s="9">
        <v>1423012</v>
      </c>
      <c r="H19" s="14">
        <f t="shared" si="0"/>
        <v>3494573</v>
      </c>
    </row>
    <row r="20" spans="2:8" x14ac:dyDescent="0.25">
      <c r="B20" s="9" t="s">
        <v>240</v>
      </c>
      <c r="C20" s="9">
        <v>822738.69</v>
      </c>
      <c r="D20" s="9">
        <v>578294.88</v>
      </c>
      <c r="E20" s="9">
        <f t="shared" si="1"/>
        <v>1401033.5699999998</v>
      </c>
      <c r="F20" s="9">
        <v>663523</v>
      </c>
      <c r="G20" s="9">
        <v>449690</v>
      </c>
      <c r="H20" s="14">
        <f>F20+G20</f>
        <v>1113213</v>
      </c>
    </row>
    <row r="21" spans="2:8" x14ac:dyDescent="0.25">
      <c r="B21" s="9" t="s">
        <v>241</v>
      </c>
      <c r="C21" s="9">
        <v>1094653</v>
      </c>
      <c r="D21" s="9">
        <v>901320</v>
      </c>
      <c r="E21" s="9">
        <f t="shared" si="1"/>
        <v>1995973</v>
      </c>
      <c r="F21" s="9">
        <v>1253849</v>
      </c>
      <c r="G21" s="9">
        <v>940495</v>
      </c>
      <c r="H21" s="14">
        <f t="shared" si="0"/>
        <v>2194344</v>
      </c>
    </row>
    <row r="22" spans="2:8" x14ac:dyDescent="0.25">
      <c r="B22" s="9" t="s">
        <v>242</v>
      </c>
      <c r="C22" s="9">
        <v>4866806.0599999996</v>
      </c>
      <c r="D22" s="9">
        <v>10209341</v>
      </c>
      <c r="E22" s="9">
        <f t="shared" si="1"/>
        <v>15076147.059999999</v>
      </c>
      <c r="F22" s="9">
        <v>5539545</v>
      </c>
      <c r="G22" s="9">
        <v>8664084</v>
      </c>
      <c r="H22" s="14">
        <f t="shared" si="0"/>
        <v>14203629</v>
      </c>
    </row>
    <row r="23" spans="2:8" x14ac:dyDescent="0.25">
      <c r="B23" s="9" t="s">
        <v>243</v>
      </c>
      <c r="C23" s="9">
        <v>1658234</v>
      </c>
      <c r="D23" s="9">
        <v>2349220</v>
      </c>
      <c r="E23" s="9">
        <f t="shared" si="1"/>
        <v>4007454</v>
      </c>
      <c r="F23" s="9">
        <v>7245605</v>
      </c>
      <c r="G23" s="9">
        <v>2154134</v>
      </c>
      <c r="H23" s="14">
        <f t="shared" si="0"/>
        <v>9399739</v>
      </c>
    </row>
    <row r="24" spans="2:8" s="67" customFormat="1" x14ac:dyDescent="0.25">
      <c r="B24" s="65" t="s">
        <v>244</v>
      </c>
      <c r="C24" s="9">
        <v>54217859.890000001</v>
      </c>
      <c r="D24" s="9">
        <v>154014931.43000001</v>
      </c>
      <c r="E24" s="9">
        <f t="shared" si="1"/>
        <v>208232791.31999999</v>
      </c>
      <c r="F24" s="9">
        <v>55997783</v>
      </c>
      <c r="G24" s="9">
        <v>119764263</v>
      </c>
      <c r="H24" s="66">
        <f>F24+G24</f>
        <v>175762046</v>
      </c>
    </row>
    <row r="25" spans="2:8" x14ac:dyDescent="0.25">
      <c r="B25" s="9" t="s">
        <v>245</v>
      </c>
      <c r="C25" s="9">
        <v>1147813.18</v>
      </c>
      <c r="D25" s="9">
        <v>2155676</v>
      </c>
      <c r="E25" s="9">
        <f t="shared" si="1"/>
        <v>3303489.1799999997</v>
      </c>
      <c r="F25" s="9">
        <v>940511</v>
      </c>
      <c r="G25" s="9">
        <v>2266380</v>
      </c>
      <c r="H25" s="14">
        <f t="shared" si="0"/>
        <v>3206891</v>
      </c>
    </row>
    <row r="26" spans="2:8" x14ac:dyDescent="0.25">
      <c r="B26" s="9" t="s">
        <v>246</v>
      </c>
      <c r="C26" s="9">
        <v>8848537.2699999996</v>
      </c>
      <c r="D26" s="9">
        <v>15713290</v>
      </c>
      <c r="E26" s="9">
        <f t="shared" si="1"/>
        <v>24561827.27</v>
      </c>
      <c r="F26" s="9">
        <v>8044787</v>
      </c>
      <c r="G26" s="9">
        <v>16525376</v>
      </c>
      <c r="H26" s="14">
        <f t="shared" si="0"/>
        <v>24570163</v>
      </c>
    </row>
    <row r="27" spans="2:8" x14ac:dyDescent="0.25">
      <c r="B27" s="12" t="s">
        <v>66</v>
      </c>
      <c r="C27" s="14">
        <f>SUM(C7:C26)</f>
        <v>187818570.57835719</v>
      </c>
      <c r="D27" s="14">
        <f>SUM(D7:D26)</f>
        <v>318810455.65999997</v>
      </c>
      <c r="E27" s="68">
        <f>SUM(E7:E26)</f>
        <v>506629026.23835713</v>
      </c>
      <c r="F27" s="14">
        <f>SUM(F7:F26)</f>
        <v>189146472</v>
      </c>
      <c r="G27" s="14">
        <f>SUM(G7:G26)</f>
        <v>275217284</v>
      </c>
      <c r="H27" s="14">
        <f>F27+G27</f>
        <v>464363756</v>
      </c>
    </row>
    <row r="31" spans="2:8" x14ac:dyDescent="0.25">
      <c r="B31" s="374" t="s">
        <v>247</v>
      </c>
      <c r="C31" s="374"/>
      <c r="D31" s="374"/>
      <c r="E31" s="374"/>
    </row>
    <row r="32" spans="2:8" x14ac:dyDescent="0.25">
      <c r="B32" s="375" t="s">
        <v>248</v>
      </c>
      <c r="C32" s="375"/>
      <c r="D32" s="375"/>
      <c r="E32" s="375"/>
    </row>
    <row r="33" spans="2:5" x14ac:dyDescent="0.25">
      <c r="B33" s="376" t="s">
        <v>72</v>
      </c>
      <c r="C33" s="376"/>
      <c r="D33" s="376" t="s">
        <v>249</v>
      </c>
      <c r="E33" s="376"/>
    </row>
    <row r="34" spans="2:5" x14ac:dyDescent="0.25">
      <c r="B34" s="377" t="s">
        <v>46</v>
      </c>
      <c r="C34" s="377"/>
      <c r="D34" s="378">
        <v>36572</v>
      </c>
      <c r="E34" s="378"/>
    </row>
    <row r="35" spans="2:5" x14ac:dyDescent="0.25">
      <c r="B35" s="372" t="s">
        <v>47</v>
      </c>
      <c r="C35" s="372"/>
      <c r="D35" s="373">
        <v>15229</v>
      </c>
      <c r="E35" s="373"/>
    </row>
    <row r="36" spans="2:5" x14ac:dyDescent="0.25">
      <c r="B36" s="372" t="s">
        <v>48</v>
      </c>
      <c r="C36" s="372"/>
      <c r="D36" s="373">
        <v>11188</v>
      </c>
      <c r="E36" s="373"/>
    </row>
    <row r="37" spans="2:5" x14ac:dyDescent="0.25">
      <c r="B37" s="372" t="s">
        <v>49</v>
      </c>
      <c r="C37" s="372"/>
      <c r="D37" s="373">
        <v>124205</v>
      </c>
      <c r="E37" s="373"/>
    </row>
    <row r="38" spans="2:5" x14ac:dyDescent="0.25">
      <c r="B38" s="372" t="s">
        <v>50</v>
      </c>
      <c r="C38" s="372"/>
      <c r="D38" s="373">
        <v>70399</v>
      </c>
      <c r="E38" s="373"/>
    </row>
    <row r="39" spans="2:5" x14ac:dyDescent="0.25">
      <c r="B39" s="372" t="s">
        <v>51</v>
      </c>
      <c r="C39" s="372"/>
      <c r="D39" s="373">
        <v>34300</v>
      </c>
      <c r="E39" s="373"/>
    </row>
    <row r="40" spans="2:5" x14ac:dyDescent="0.25">
      <c r="B40" s="372" t="s">
        <v>52</v>
      </c>
      <c r="C40" s="372"/>
      <c r="D40" s="373">
        <v>11400</v>
      </c>
      <c r="E40" s="373"/>
    </row>
    <row r="41" spans="2:5" x14ac:dyDescent="0.25">
      <c r="B41" s="372" t="s">
        <v>53</v>
      </c>
      <c r="C41" s="372"/>
      <c r="D41" s="373">
        <v>27273</v>
      </c>
      <c r="E41" s="373"/>
    </row>
    <row r="42" spans="2:5" x14ac:dyDescent="0.25">
      <c r="B42" s="372" t="s">
        <v>54</v>
      </c>
      <c r="C42" s="372"/>
      <c r="D42" s="373">
        <v>17698</v>
      </c>
      <c r="E42" s="373"/>
    </row>
    <row r="43" spans="2:5" x14ac:dyDescent="0.25">
      <c r="B43" s="372" t="s">
        <v>55</v>
      </c>
      <c r="C43" s="372"/>
      <c r="D43" s="373">
        <v>13600</v>
      </c>
      <c r="E43" s="373"/>
    </row>
    <row r="44" spans="2:5" x14ac:dyDescent="0.25">
      <c r="B44" s="372" t="s">
        <v>56</v>
      </c>
      <c r="C44" s="372"/>
      <c r="D44" s="373">
        <v>34393</v>
      </c>
      <c r="E44" s="373"/>
    </row>
    <row r="45" spans="2:5" x14ac:dyDescent="0.25">
      <c r="B45" s="372" t="s">
        <v>57</v>
      </c>
      <c r="C45" s="372"/>
      <c r="D45" s="373">
        <v>23469</v>
      </c>
      <c r="E45" s="373"/>
    </row>
    <row r="46" spans="2:5" x14ac:dyDescent="0.25">
      <c r="B46" s="372" t="s">
        <v>58</v>
      </c>
      <c r="C46" s="372"/>
      <c r="D46" s="373">
        <v>43120</v>
      </c>
      <c r="E46" s="373"/>
    </row>
    <row r="47" spans="2:5" x14ac:dyDescent="0.25">
      <c r="B47" s="372" t="s">
        <v>59</v>
      </c>
      <c r="C47" s="372"/>
      <c r="D47" s="373">
        <v>7510</v>
      </c>
      <c r="E47" s="373"/>
    </row>
    <row r="48" spans="2:5" x14ac:dyDescent="0.25">
      <c r="B48" s="372" t="s">
        <v>60</v>
      </c>
      <c r="C48" s="372"/>
      <c r="D48" s="373">
        <v>22412</v>
      </c>
      <c r="E48" s="373"/>
    </row>
    <row r="49" spans="2:5" x14ac:dyDescent="0.25">
      <c r="B49" s="372" t="s">
        <v>61</v>
      </c>
      <c r="C49" s="372"/>
      <c r="D49" s="373">
        <v>93074</v>
      </c>
      <c r="E49" s="373"/>
    </row>
    <row r="50" spans="2:5" x14ac:dyDescent="0.25">
      <c r="B50" s="372" t="s">
        <v>62</v>
      </c>
      <c r="C50" s="372"/>
      <c r="D50" s="373">
        <v>39756</v>
      </c>
      <c r="E50" s="373"/>
    </row>
    <row r="51" spans="2:5" x14ac:dyDescent="0.25">
      <c r="B51" s="372" t="s">
        <v>63</v>
      </c>
      <c r="C51" s="372"/>
      <c r="D51" s="373">
        <v>380249</v>
      </c>
      <c r="E51" s="373"/>
    </row>
    <row r="52" spans="2:5" x14ac:dyDescent="0.25">
      <c r="B52" s="372" t="s">
        <v>64</v>
      </c>
      <c r="C52" s="372"/>
      <c r="D52" s="373">
        <v>30030</v>
      </c>
      <c r="E52" s="373"/>
    </row>
    <row r="53" spans="2:5" x14ac:dyDescent="0.25">
      <c r="B53" s="367" t="s">
        <v>65</v>
      </c>
      <c r="C53" s="367"/>
      <c r="D53" s="368">
        <v>49102</v>
      </c>
      <c r="E53" s="368"/>
    </row>
    <row r="54" spans="2:5" x14ac:dyDescent="0.25">
      <c r="B54" s="369" t="s">
        <v>99</v>
      </c>
      <c r="C54" s="369"/>
      <c r="D54" s="370">
        <f>SUM(D34:E53)</f>
        <v>1084979</v>
      </c>
      <c r="E54" s="371"/>
    </row>
  </sheetData>
  <mergeCells count="53">
    <mergeCell ref="B5:B6"/>
    <mergeCell ref="C5:E5"/>
    <mergeCell ref="F5:H5"/>
    <mergeCell ref="B1:H1"/>
    <mergeCell ref="B2:H2"/>
    <mergeCell ref="B3:H3"/>
    <mergeCell ref="B4:H4"/>
    <mergeCell ref="B31:E31"/>
    <mergeCell ref="B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3:C53"/>
    <mergeCell ref="D53:E53"/>
    <mergeCell ref="B54:C54"/>
    <mergeCell ref="D54:E54"/>
    <mergeCell ref="B50:C50"/>
    <mergeCell ref="D50:E50"/>
    <mergeCell ref="B51:C51"/>
    <mergeCell ref="D51:E51"/>
    <mergeCell ref="B52:C52"/>
    <mergeCell ref="D52:E52"/>
  </mergeCells>
  <printOptions horizontalCentered="1"/>
  <pageMargins left="0.35433070866141736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Porcentajes</vt:lpstr>
      <vt:lpstr>FGP</vt:lpstr>
      <vt:lpstr>FFM</vt:lpstr>
      <vt:lpstr>IEPS TyA</vt:lpstr>
      <vt:lpstr>IEPS GyD</vt:lpstr>
      <vt:lpstr>FOFIR</vt:lpstr>
      <vt:lpstr>FOCO</vt:lpstr>
      <vt:lpstr>ISAN Y FC_ISAN</vt:lpstr>
      <vt:lpstr>ANEXO I y CENSO</vt:lpstr>
      <vt:lpstr>CALENDARIO 1</vt:lpstr>
      <vt:lpstr>CALENDARIO 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cp:revision/>
  <dcterms:created xsi:type="dcterms:W3CDTF">2016-01-21T21:02:33Z</dcterms:created>
  <dcterms:modified xsi:type="dcterms:W3CDTF">2016-02-16T21:20:55Z</dcterms:modified>
</cp:coreProperties>
</file>